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807"/>
  </bookViews>
  <sheets>
    <sheet name="1 m Mérleg  " sheetId="1" r:id="rId1"/>
    <sheet name="2 m Bev" sheetId="2" r:id="rId2"/>
    <sheet name="2 a Átvett" sheetId="3" r:id="rId3"/>
    <sheet name="2 b Állami" sheetId="4" r:id="rId4"/>
    <sheet name="3 m Kiad" sheetId="5" r:id="rId5"/>
    <sheet name="3 a Átadott" sheetId="6" r:id="rId6"/>
    <sheet name="4 a Intézmények" sheetId="7" r:id="rId7"/>
    <sheet name="4 aa Állami fentart Int" sheetId="8" r:id="rId8"/>
    <sheet name="4 ba Polg Hiv" sheetId="9" r:id="rId9"/>
    <sheet name="4 bba Önkorm " sheetId="10" r:id="rId10"/>
    <sheet name="4 bbb Önkorm" sheetId="11" r:id="rId11"/>
    <sheet name="4 c Önk Korrekció" sheetId="12" r:id="rId12"/>
    <sheet name="4 d Tartalék" sheetId="13" r:id="rId13"/>
    <sheet name="6 m FÚ" sheetId="14" r:id="rId14"/>
    <sheet name="7 m FH" sheetId="15" r:id="rId15"/>
    <sheet name="8 m Pályázat" sheetId="16" r:id="rId16"/>
    <sheet name="Munka1" sheetId="17" r:id="rId17"/>
  </sheets>
  <definedNames>
    <definedName name="Excel_BuiltIn__FilterDatabase" localSheetId="6">'4 a Intézmények'!$A$1:$FJ$154</definedName>
    <definedName name="_xlnm.Print_Titles" localSheetId="2">'2 a Átvett'!$2:$4</definedName>
    <definedName name="_xlnm.Print_Titles" localSheetId="3">'2 b Állami'!$4:$6</definedName>
    <definedName name="_xlnm.Print_Titles" localSheetId="1">'2 m Bev'!$5:$8</definedName>
    <definedName name="_xlnm.Print_Titles" localSheetId="5">'3 a Átadott'!$2:$4</definedName>
    <definedName name="_xlnm.Print_Titles" localSheetId="4">'3 m Kiad'!$3:$6</definedName>
    <definedName name="_xlnm.Print_Titles" localSheetId="6">'4 a Intézmények'!$A:$A</definedName>
    <definedName name="_xlnm.Print_Titles" localSheetId="7">'4 aa Állami fentart Int'!$A:$A</definedName>
    <definedName name="_xlnm.Print_Titles" localSheetId="8">'4 ba Polg Hiv'!$A:$A</definedName>
    <definedName name="_xlnm.Print_Titles" localSheetId="9">'4 bba Önkorm '!$A:$A</definedName>
    <definedName name="_xlnm.Print_Titles" localSheetId="10">'4 bbb Önkorm'!$A:$A</definedName>
    <definedName name="_xlnm.Print_Titles" localSheetId="11">'4 c Önk Korrekció'!$A:$A</definedName>
    <definedName name="_xlnm.Print_Titles" localSheetId="12">'4 d Tartalék'!$3:$3</definedName>
    <definedName name="_xlnm.Print_Titles" localSheetId="13">'6 m FÚ'!$1:$5</definedName>
    <definedName name="_xlnm.Print_Titles" localSheetId="14">'7 m FH'!$1:$5</definedName>
    <definedName name="_xlnm.Print_Titles" localSheetId="15">'8 m Pályázat'!$1:$5</definedName>
    <definedName name="_xlnm.Print_Area" localSheetId="0">'1 m Mérleg  '!$A$1:$L$37</definedName>
    <definedName name="_xlnm.Print_Area" localSheetId="2">'2 a Átvett'!$A$1:$J$379</definedName>
    <definedName name="_xlnm.Print_Area" localSheetId="3">'2 b Állami'!$A$1:$AB$68</definedName>
    <definedName name="_xlnm.Print_Area" localSheetId="1">'2 m Bev'!$A$3:$S$72</definedName>
    <definedName name="_xlnm.Print_Area" localSheetId="5">'3 a Átadott'!$A$1:$I$561</definedName>
    <definedName name="_xlnm.Print_Area" localSheetId="4">'3 m Kiad'!$A$1:$S$61</definedName>
    <definedName name="_xlnm.Print_Area" localSheetId="6">'4 a Intézmények'!$A$1:$CH$105</definedName>
    <definedName name="_xlnm.Print_Area" localSheetId="7">'4 aa Állami fentart Int'!$A$1:$CA$105</definedName>
    <definedName name="_xlnm.Print_Area" localSheetId="8">'4 ba Polg Hiv'!$A$2:$BG$112</definedName>
    <definedName name="_xlnm.Print_Area" localSheetId="9">'4 bba Önkorm '!$A$1:$DQ$106</definedName>
    <definedName name="_xlnm.Print_Area" localSheetId="10">'4 bbb Önkorm'!$A$2:$BS$107</definedName>
    <definedName name="_xlnm.Print_Area" localSheetId="11">'4 c Önk Korrekció'!$A$1:$Z$105</definedName>
    <definedName name="_xlnm.Print_Area" localSheetId="12">'4 d Tartalék'!$A$1:$G$98</definedName>
    <definedName name="_xlnm.Print_Area" localSheetId="13">'6 m FÚ'!$A$1:$AD$293</definedName>
    <definedName name="_xlnm.Print_Area" localSheetId="15">'8 m Pályázat'!$A$1:$AB$24</definedName>
  </definedNames>
  <calcPr calcId="125725" fullPrecision="0"/>
</workbook>
</file>

<file path=xl/calcChain.xml><?xml version="1.0" encoding="utf-8"?>
<calcChain xmlns="http://schemas.openxmlformats.org/spreadsheetml/2006/main">
  <c r="U68" i="7"/>
  <c r="I218" i="6"/>
  <c r="I376" s="1"/>
  <c r="I184"/>
  <c r="I199" s="1"/>
  <c r="H553"/>
  <c r="F553"/>
  <c r="G553"/>
  <c r="H501"/>
  <c r="I337" i="3"/>
  <c r="I336"/>
  <c r="F337"/>
  <c r="G337"/>
  <c r="H337"/>
  <c r="J377" l="1"/>
  <c r="AA89" i="15" l="1"/>
  <c r="Y89"/>
  <c r="Y88"/>
  <c r="Y87"/>
  <c r="L22" i="2"/>
  <c r="L20"/>
  <c r="J314" i="3"/>
  <c r="J319" s="1"/>
  <c r="J239"/>
  <c r="J238"/>
  <c r="J236"/>
  <c r="J237"/>
  <c r="J282" s="1"/>
  <c r="I416" i="6"/>
  <c r="I406"/>
  <c r="I499" s="1"/>
  <c r="I561"/>
  <c r="I547"/>
  <c r="I551" s="1"/>
  <c r="I548"/>
  <c r="I296"/>
  <c r="I294"/>
  <c r="I293"/>
  <c r="I217"/>
  <c r="I363"/>
  <c r="I317"/>
  <c r="I361"/>
  <c r="I319"/>
  <c r="I264"/>
  <c r="I355"/>
  <c r="I371"/>
  <c r="I369"/>
  <c r="I326"/>
  <c r="I269"/>
  <c r="I266"/>
  <c r="I263"/>
  <c r="I339"/>
  <c r="I349"/>
  <c r="I370"/>
  <c r="U12" i="7"/>
  <c r="CD9"/>
  <c r="CE9"/>
  <c r="CF9"/>
  <c r="CD10"/>
  <c r="CE10"/>
  <c r="CF10"/>
  <c r="CD11"/>
  <c r="CE11"/>
  <c r="CF11"/>
  <c r="CD12"/>
  <c r="CE12"/>
  <c r="CF12"/>
  <c r="CG12"/>
  <c r="CH12"/>
  <c r="CE8"/>
  <c r="CF8"/>
  <c r="BN12" i="11" l="1"/>
  <c r="BS12" s="1"/>
  <c r="BG10" i="9"/>
  <c r="BG11"/>
  <c r="AO13"/>
  <c r="AO14"/>
  <c r="AO12"/>
  <c r="AJ13"/>
  <c r="AJ14"/>
  <c r="AJ12"/>
  <c r="AE13"/>
  <c r="BG13" s="1"/>
  <c r="AE14"/>
  <c r="BG14" s="1"/>
  <c r="AE12"/>
  <c r="BG12" s="1"/>
  <c r="I334" i="6" l="1"/>
  <c r="I368"/>
  <c r="I342"/>
  <c r="I265"/>
  <c r="I372"/>
  <c r="I323"/>
  <c r="I256"/>
  <c r="I220"/>
  <c r="I207"/>
  <c r="I206"/>
  <c r="I180"/>
  <c r="I179"/>
  <c r="Z88" i="12"/>
  <c r="Y86" i="15"/>
  <c r="AA83"/>
  <c r="Y83" s="1"/>
  <c r="AA82"/>
  <c r="Y82" s="1"/>
  <c r="AA81"/>
  <c r="Y81" s="1"/>
  <c r="AA80"/>
  <c r="Y80" s="1"/>
  <c r="AA79"/>
  <c r="Y79" s="1"/>
  <c r="AA78"/>
  <c r="Y78" s="1"/>
  <c r="AA77"/>
  <c r="Y77" s="1"/>
  <c r="AA76"/>
  <c r="Y76" s="1"/>
  <c r="AA75"/>
  <c r="Y75" s="1"/>
  <c r="Y74"/>
  <c r="AA73"/>
  <c r="Y73" s="1"/>
  <c r="AA72"/>
  <c r="Y72" s="1"/>
  <c r="AA71"/>
  <c r="Y71" s="1"/>
  <c r="AA70"/>
  <c r="Y70" s="1"/>
  <c r="AA69"/>
  <c r="Y69" s="1"/>
  <c r="AA68"/>
  <c r="Y68" s="1"/>
  <c r="AA67"/>
  <c r="Y67" s="1"/>
  <c r="AA66"/>
  <c r="Y66" s="1"/>
  <c r="AA65"/>
  <c r="Y65" s="1"/>
  <c r="AA64"/>
  <c r="Y64" s="1"/>
  <c r="AA63"/>
  <c r="Y63" s="1"/>
  <c r="AA62"/>
  <c r="Y62" s="1"/>
  <c r="AA61"/>
  <c r="Y61" s="1"/>
  <c r="AA60"/>
  <c r="Y60" s="1"/>
  <c r="Y59"/>
  <c r="Y58"/>
  <c r="AA57"/>
  <c r="Y57" s="1"/>
  <c r="Y56"/>
  <c r="AA55"/>
  <c r="Y55" s="1"/>
  <c r="Y54"/>
  <c r="P102" i="12"/>
  <c r="P100"/>
  <c r="P58"/>
  <c r="P56"/>
  <c r="AO105" i="9"/>
  <c r="AO107"/>
  <c r="I59" i="2"/>
  <c r="J59"/>
  <c r="K59"/>
  <c r="H58"/>
  <c r="D58"/>
  <c r="DD35" i="10"/>
  <c r="DE35"/>
  <c r="AJ58" i="11"/>
  <c r="AJ56"/>
  <c r="U100" i="7"/>
  <c r="U102"/>
  <c r="AJ69" i="11"/>
  <c r="P20"/>
  <c r="BN98"/>
  <c r="BS98" s="1"/>
  <c r="L58" i="2" s="1"/>
  <c r="BN99" i="11"/>
  <c r="BN100"/>
  <c r="BN101"/>
  <c r="BN102"/>
  <c r="BN103"/>
  <c r="U77" i="7"/>
  <c r="U73"/>
  <c r="BS59" i="11"/>
  <c r="L53" i="5" s="1"/>
  <c r="BN22" i="11"/>
  <c r="DQ97" i="10"/>
  <c r="DQ100"/>
  <c r="BS101" i="11" s="1"/>
  <c r="DQ101" i="10"/>
  <c r="DG21"/>
  <c r="DQ21" s="1"/>
  <c r="BS22" i="11" s="1"/>
  <c r="F22" i="12" s="1"/>
  <c r="Z22" s="1"/>
  <c r="BI97" i="10"/>
  <c r="BI98"/>
  <c r="DQ98" s="1"/>
  <c r="BS99" i="11" s="1"/>
  <c r="BI99" i="10"/>
  <c r="DQ99" s="1"/>
  <c r="BI100"/>
  <c r="BI101"/>
  <c r="BI102"/>
  <c r="DQ102" s="1"/>
  <c r="BS103" i="11" s="1"/>
  <c r="L64" i="2" s="1"/>
  <c r="R64" s="1"/>
  <c r="L31" i="1" s="1"/>
  <c r="L32" s="1"/>
  <c r="BI21" i="10"/>
  <c r="DB86"/>
  <c r="DB104" s="1"/>
  <c r="DB85"/>
  <c r="DL24"/>
  <c r="DL19"/>
  <c r="P73" i="11"/>
  <c r="P25"/>
  <c r="P21"/>
  <c r="Z73"/>
  <c r="Z31"/>
  <c r="Z25"/>
  <c r="AE73"/>
  <c r="AE25"/>
  <c r="AE41"/>
  <c r="AE31"/>
  <c r="AE26"/>
  <c r="AE21"/>
  <c r="AE20"/>
  <c r="E11" i="1"/>
  <c r="K11"/>
  <c r="E13"/>
  <c r="E19"/>
  <c r="K19"/>
  <c r="E21"/>
  <c r="E41"/>
  <c r="K41"/>
  <c r="L41"/>
  <c r="E42"/>
  <c r="K42"/>
  <c r="L42"/>
  <c r="K43"/>
  <c r="K44"/>
  <c r="K45"/>
  <c r="J10" i="3"/>
  <c r="J11"/>
  <c r="F13"/>
  <c r="F20" s="1"/>
  <c r="G13"/>
  <c r="H13"/>
  <c r="K13"/>
  <c r="I13"/>
  <c r="F18"/>
  <c r="G18"/>
  <c r="H18"/>
  <c r="K18" s="1"/>
  <c r="I18"/>
  <c r="J18"/>
  <c r="G20"/>
  <c r="G30" s="1"/>
  <c r="H20"/>
  <c r="I24"/>
  <c r="J24"/>
  <c r="I25"/>
  <c r="I26"/>
  <c r="J26"/>
  <c r="F28"/>
  <c r="G28"/>
  <c r="H28"/>
  <c r="I36"/>
  <c r="I37"/>
  <c r="J37"/>
  <c r="I38"/>
  <c r="J38" s="1"/>
  <c r="I39"/>
  <c r="J39"/>
  <c r="I40"/>
  <c r="J40" s="1"/>
  <c r="I41"/>
  <c r="J41"/>
  <c r="I42"/>
  <c r="J42" s="1"/>
  <c r="I43"/>
  <c r="J43"/>
  <c r="F45"/>
  <c r="F55" s="1"/>
  <c r="G45"/>
  <c r="H45"/>
  <c r="I48"/>
  <c r="J48"/>
  <c r="I49"/>
  <c r="J49" s="1"/>
  <c r="I50"/>
  <c r="J50"/>
  <c r="I51"/>
  <c r="J51" s="1"/>
  <c r="F53"/>
  <c r="G53"/>
  <c r="G55"/>
  <c r="H53"/>
  <c r="I69"/>
  <c r="J69"/>
  <c r="J70"/>
  <c r="I71"/>
  <c r="J71"/>
  <c r="J72"/>
  <c r="I73"/>
  <c r="J73"/>
  <c r="I75"/>
  <c r="I77"/>
  <c r="I79"/>
  <c r="I81"/>
  <c r="I83"/>
  <c r="I85"/>
  <c r="I87"/>
  <c r="I89"/>
  <c r="I90"/>
  <c r="J91"/>
  <c r="I92"/>
  <c r="J92"/>
  <c r="I93"/>
  <c r="J93"/>
  <c r="J94"/>
  <c r="I95"/>
  <c r="J95"/>
  <c r="I96"/>
  <c r="J96"/>
  <c r="F138"/>
  <c r="G138"/>
  <c r="H138"/>
  <c r="H164"/>
  <c r="I144"/>
  <c r="J144" s="1"/>
  <c r="I145"/>
  <c r="J145"/>
  <c r="I147"/>
  <c r="J147" s="1"/>
  <c r="I149"/>
  <c r="J149"/>
  <c r="I151"/>
  <c r="J151" s="1"/>
  <c r="I153"/>
  <c r="J153"/>
  <c r="I155"/>
  <c r="J155" s="1"/>
  <c r="I157"/>
  <c r="J157"/>
  <c r="F160"/>
  <c r="F164" s="1"/>
  <c r="G160"/>
  <c r="H160"/>
  <c r="K160"/>
  <c r="K162"/>
  <c r="I172"/>
  <c r="I174"/>
  <c r="I176"/>
  <c r="I178"/>
  <c r="I180"/>
  <c r="I182"/>
  <c r="I184"/>
  <c r="I186"/>
  <c r="I188"/>
  <c r="I190"/>
  <c r="I191"/>
  <c r="I193"/>
  <c r="F199"/>
  <c r="F214" s="1"/>
  <c r="G199"/>
  <c r="H199"/>
  <c r="J199"/>
  <c r="I206"/>
  <c r="I209"/>
  <c r="J206"/>
  <c r="I207"/>
  <c r="J207" s="1"/>
  <c r="F209"/>
  <c r="G209"/>
  <c r="K209" s="1"/>
  <c r="H209"/>
  <c r="I212"/>
  <c r="J212"/>
  <c r="K212"/>
  <c r="I237"/>
  <c r="I238"/>
  <c r="I239"/>
  <c r="I240"/>
  <c r="I241"/>
  <c r="I242"/>
  <c r="I243"/>
  <c r="I244"/>
  <c r="I245"/>
  <c r="I246"/>
  <c r="F282"/>
  <c r="G282"/>
  <c r="H282"/>
  <c r="H284" s="1"/>
  <c r="H294" s="1"/>
  <c r="F284"/>
  <c r="J284"/>
  <c r="J294" s="1"/>
  <c r="F292"/>
  <c r="G292"/>
  <c r="H292"/>
  <c r="K292"/>
  <c r="I292"/>
  <c r="J292"/>
  <c r="I303"/>
  <c r="G304"/>
  <c r="I304" s="1"/>
  <c r="I311" s="1"/>
  <c r="I307"/>
  <c r="J307"/>
  <c r="I308"/>
  <c r="J308"/>
  <c r="I309"/>
  <c r="J309"/>
  <c r="F311"/>
  <c r="G311"/>
  <c r="H311"/>
  <c r="I314"/>
  <c r="I319" s="1"/>
  <c r="I316"/>
  <c r="I317"/>
  <c r="F319"/>
  <c r="G319"/>
  <c r="H319"/>
  <c r="K319"/>
  <c r="H321"/>
  <c r="I330"/>
  <c r="I333" s="1"/>
  <c r="H331"/>
  <c r="H333" s="1"/>
  <c r="I331"/>
  <c r="G333"/>
  <c r="G338"/>
  <c r="I338" s="1"/>
  <c r="I340" s="1"/>
  <c r="H338"/>
  <c r="F355"/>
  <c r="F357"/>
  <c r="G355"/>
  <c r="G357" s="1"/>
  <c r="I357" s="1"/>
  <c r="H355"/>
  <c r="I355"/>
  <c r="J355"/>
  <c r="J357" s="1"/>
  <c r="K355"/>
  <c r="H357"/>
  <c r="F370"/>
  <c r="F379"/>
  <c r="G370"/>
  <c r="H370"/>
  <c r="J370"/>
  <c r="J379"/>
  <c r="I373"/>
  <c r="I374"/>
  <c r="I377" s="1"/>
  <c r="F377"/>
  <c r="G377"/>
  <c r="H377"/>
  <c r="K377"/>
  <c r="H379"/>
  <c r="G10" i="4"/>
  <c r="H10"/>
  <c r="G11"/>
  <c r="AA11" s="1"/>
  <c r="X11"/>
  <c r="X29" s="1"/>
  <c r="X45" s="1"/>
  <c r="Y11"/>
  <c r="Y29" s="1"/>
  <c r="Z11"/>
  <c r="AB11"/>
  <c r="G12"/>
  <c r="H12"/>
  <c r="P12"/>
  <c r="V12"/>
  <c r="X12"/>
  <c r="Y12"/>
  <c r="Z12"/>
  <c r="AA12"/>
  <c r="AB12"/>
  <c r="G13"/>
  <c r="H13"/>
  <c r="AB13" s="1"/>
  <c r="V13"/>
  <c r="X13"/>
  <c r="Y13"/>
  <c r="Z13"/>
  <c r="AA13"/>
  <c r="G14"/>
  <c r="H14"/>
  <c r="AB14" s="1"/>
  <c r="V14"/>
  <c r="X14"/>
  <c r="Y14"/>
  <c r="Z14"/>
  <c r="AA14"/>
  <c r="G15"/>
  <c r="H15"/>
  <c r="AB15" s="1"/>
  <c r="V15"/>
  <c r="X15"/>
  <c r="Y15"/>
  <c r="Z15"/>
  <c r="AA15"/>
  <c r="G16"/>
  <c r="H16"/>
  <c r="AB16" s="1"/>
  <c r="P16"/>
  <c r="Z16" s="1"/>
  <c r="V16"/>
  <c r="X16"/>
  <c r="Y16"/>
  <c r="AA16"/>
  <c r="G17"/>
  <c r="H17"/>
  <c r="V17"/>
  <c r="X17"/>
  <c r="Y17"/>
  <c r="Z17"/>
  <c r="AA17"/>
  <c r="G18"/>
  <c r="H18"/>
  <c r="AB18"/>
  <c r="V18"/>
  <c r="X18"/>
  <c r="Y18"/>
  <c r="Z18"/>
  <c r="AA18"/>
  <c r="G19"/>
  <c r="H19"/>
  <c r="AB19"/>
  <c r="V19"/>
  <c r="X19"/>
  <c r="Y19"/>
  <c r="Z19"/>
  <c r="AA19"/>
  <c r="G20"/>
  <c r="H20"/>
  <c r="AB20"/>
  <c r="V20"/>
  <c r="X20"/>
  <c r="Y20"/>
  <c r="Z20"/>
  <c r="AA20"/>
  <c r="G21"/>
  <c r="H21"/>
  <c r="AB21"/>
  <c r="V21"/>
  <c r="X21"/>
  <c r="Y21"/>
  <c r="Z21"/>
  <c r="AA21"/>
  <c r="G22"/>
  <c r="H22"/>
  <c r="AB22"/>
  <c r="V22"/>
  <c r="X22"/>
  <c r="Y22"/>
  <c r="Z22"/>
  <c r="AA22"/>
  <c r="G23"/>
  <c r="H23"/>
  <c r="AB23"/>
  <c r="V23"/>
  <c r="X23"/>
  <c r="Y23"/>
  <c r="Z23"/>
  <c r="AA23"/>
  <c r="G24"/>
  <c r="H24"/>
  <c r="AB24"/>
  <c r="V24"/>
  <c r="X24"/>
  <c r="Y24"/>
  <c r="Z24"/>
  <c r="AA24"/>
  <c r="G25"/>
  <c r="H25"/>
  <c r="AB25"/>
  <c r="V25"/>
  <c r="X25"/>
  <c r="Y25"/>
  <c r="Z25"/>
  <c r="AA25"/>
  <c r="G26"/>
  <c r="H26"/>
  <c r="AB26"/>
  <c r="V26"/>
  <c r="X26"/>
  <c r="Y26"/>
  <c r="Z26"/>
  <c r="AA26"/>
  <c r="G27"/>
  <c r="H27"/>
  <c r="AB27"/>
  <c r="V27"/>
  <c r="X27"/>
  <c r="Y27"/>
  <c r="Z27"/>
  <c r="AA27"/>
  <c r="D29"/>
  <c r="E29"/>
  <c r="E45"/>
  <c r="F29"/>
  <c r="F45" s="1"/>
  <c r="I29"/>
  <c r="I45"/>
  <c r="J29"/>
  <c r="J45" s="1"/>
  <c r="K29"/>
  <c r="K45" s="1"/>
  <c r="L29"/>
  <c r="L45" s="1"/>
  <c r="M29"/>
  <c r="M45"/>
  <c r="O29"/>
  <c r="O45"/>
  <c r="O48" s="1"/>
  <c r="Q29"/>
  <c r="R29"/>
  <c r="R45"/>
  <c r="S29"/>
  <c r="S45"/>
  <c r="T29"/>
  <c r="U29"/>
  <c r="U45" s="1"/>
  <c r="W29"/>
  <c r="W45"/>
  <c r="G33"/>
  <c r="H33"/>
  <c r="V33"/>
  <c r="V35"/>
  <c r="W33"/>
  <c r="W35" s="1"/>
  <c r="W46" s="1"/>
  <c r="W48" s="1"/>
  <c r="X33"/>
  <c r="X35" s="1"/>
  <c r="X46" s="1"/>
  <c r="Y33"/>
  <c r="Y35" s="1"/>
  <c r="Z33"/>
  <c r="Z35"/>
  <c r="D35"/>
  <c r="E35"/>
  <c r="F35"/>
  <c r="G35"/>
  <c r="I35"/>
  <c r="J35"/>
  <c r="K35"/>
  <c r="L35"/>
  <c r="M35"/>
  <c r="O35"/>
  <c r="P35"/>
  <c r="Q35"/>
  <c r="R35"/>
  <c r="S35"/>
  <c r="T35"/>
  <c r="U35"/>
  <c r="G39"/>
  <c r="AA39" s="1"/>
  <c r="AA41" s="1"/>
  <c r="H39"/>
  <c r="H41" s="1"/>
  <c r="H47" s="1"/>
  <c r="L39"/>
  <c r="L41" s="1"/>
  <c r="Q39"/>
  <c r="V39"/>
  <c r="V41" s="1"/>
  <c r="X39"/>
  <c r="X41"/>
  <c r="X47" s="1"/>
  <c r="Y39"/>
  <c r="D41"/>
  <c r="D47" s="1"/>
  <c r="E41"/>
  <c r="E47" s="1"/>
  <c r="F41"/>
  <c r="F47" s="1"/>
  <c r="G41"/>
  <c r="G47" s="1"/>
  <c r="I41"/>
  <c r="J41"/>
  <c r="K41"/>
  <c r="K47" s="1"/>
  <c r="M41"/>
  <c r="M47" s="1"/>
  <c r="O41"/>
  <c r="O47" s="1"/>
  <c r="P41"/>
  <c r="P47" s="1"/>
  <c r="S41"/>
  <c r="S47" s="1"/>
  <c r="S48" s="1"/>
  <c r="T41"/>
  <c r="T47" s="1"/>
  <c r="U41"/>
  <c r="U47"/>
  <c r="W41"/>
  <c r="Y41"/>
  <c r="Y47"/>
  <c r="D45"/>
  <c r="Q45"/>
  <c r="T45"/>
  <c r="T48" s="1"/>
  <c r="D46"/>
  <c r="E46"/>
  <c r="Y46" s="1"/>
  <c r="F46"/>
  <c r="G46"/>
  <c r="I46"/>
  <c r="J46"/>
  <c r="K46"/>
  <c r="L46"/>
  <c r="M46"/>
  <c r="O46"/>
  <c r="P46"/>
  <c r="Q46"/>
  <c r="R46"/>
  <c r="S46"/>
  <c r="T46"/>
  <c r="U46"/>
  <c r="I47"/>
  <c r="J47"/>
  <c r="L47" s="1"/>
  <c r="R47"/>
  <c r="W47"/>
  <c r="AA47"/>
  <c r="V48"/>
  <c r="G52"/>
  <c r="V52"/>
  <c r="W52"/>
  <c r="X52"/>
  <c r="Y52"/>
  <c r="Z52"/>
  <c r="AB52"/>
  <c r="G53"/>
  <c r="V53"/>
  <c r="W53"/>
  <c r="X53"/>
  <c r="Y53"/>
  <c r="Z53"/>
  <c r="AB53"/>
  <c r="G54"/>
  <c r="V54"/>
  <c r="W54"/>
  <c r="X54"/>
  <c r="Y54"/>
  <c r="Z54"/>
  <c r="AB54"/>
  <c r="G55"/>
  <c r="V55"/>
  <c r="W55"/>
  <c r="X55"/>
  <c r="Y55"/>
  <c r="Z55"/>
  <c r="AB55"/>
  <c r="G56"/>
  <c r="V56"/>
  <c r="W56"/>
  <c r="X56"/>
  <c r="Y56"/>
  <c r="Z56"/>
  <c r="AB56"/>
  <c r="G57"/>
  <c r="V57"/>
  <c r="W57"/>
  <c r="X57"/>
  <c r="Y57"/>
  <c r="Z57"/>
  <c r="AB57"/>
  <c r="G58"/>
  <c r="V58"/>
  <c r="V68" s="1"/>
  <c r="W58"/>
  <c r="X58"/>
  <c r="Y58"/>
  <c r="Z58"/>
  <c r="AB58"/>
  <c r="G59"/>
  <c r="V59"/>
  <c r="W59"/>
  <c r="X59"/>
  <c r="Y59"/>
  <c r="Z59"/>
  <c r="AB59"/>
  <c r="X60"/>
  <c r="AB60"/>
  <c r="G61"/>
  <c r="V61"/>
  <c r="W61"/>
  <c r="X61"/>
  <c r="Y61"/>
  <c r="Z61"/>
  <c r="AB61"/>
  <c r="G62"/>
  <c r="V62"/>
  <c r="W62"/>
  <c r="X62"/>
  <c r="Y62"/>
  <c r="Z62"/>
  <c r="AB62"/>
  <c r="G63"/>
  <c r="V63"/>
  <c r="W63"/>
  <c r="X63"/>
  <c r="Y63"/>
  <c r="Z63"/>
  <c r="AB63"/>
  <c r="G64"/>
  <c r="V64"/>
  <c r="W64"/>
  <c r="X64"/>
  <c r="Y64"/>
  <c r="Z64"/>
  <c r="AB64"/>
  <c r="G65"/>
  <c r="V65"/>
  <c r="W65"/>
  <c r="X65"/>
  <c r="Y65"/>
  <c r="Z65"/>
  <c r="AB65"/>
  <c r="G66"/>
  <c r="V66"/>
  <c r="W66"/>
  <c r="X66"/>
  <c r="Y66"/>
  <c r="Z66"/>
  <c r="AB66"/>
  <c r="D68"/>
  <c r="E68"/>
  <c r="F68"/>
  <c r="G68"/>
  <c r="H68"/>
  <c r="I68"/>
  <c r="J68"/>
  <c r="K68"/>
  <c r="L68"/>
  <c r="M68"/>
  <c r="O68"/>
  <c r="S68"/>
  <c r="T68"/>
  <c r="U68"/>
  <c r="Z68"/>
  <c r="AA68"/>
  <c r="M13" i="2"/>
  <c r="O13"/>
  <c r="P13"/>
  <c r="C17"/>
  <c r="O17"/>
  <c r="D17"/>
  <c r="H17"/>
  <c r="I17"/>
  <c r="J17"/>
  <c r="K17"/>
  <c r="Q17" s="1"/>
  <c r="N17"/>
  <c r="M18"/>
  <c r="N18"/>
  <c r="O18"/>
  <c r="P18"/>
  <c r="Q18"/>
  <c r="R18"/>
  <c r="M19"/>
  <c r="N19"/>
  <c r="O19"/>
  <c r="P19"/>
  <c r="Q19"/>
  <c r="R19"/>
  <c r="S19" s="1"/>
  <c r="N20"/>
  <c r="O20"/>
  <c r="P20"/>
  <c r="Q20"/>
  <c r="M21"/>
  <c r="N21"/>
  <c r="O21"/>
  <c r="P21"/>
  <c r="Q21"/>
  <c r="R21"/>
  <c r="S21" s="1"/>
  <c r="M22"/>
  <c r="N22"/>
  <c r="O22"/>
  <c r="P22"/>
  <c r="Q22"/>
  <c r="R22"/>
  <c r="S22"/>
  <c r="M23"/>
  <c r="N23"/>
  <c r="O23"/>
  <c r="P23"/>
  <c r="Q23"/>
  <c r="R23"/>
  <c r="S23"/>
  <c r="M24"/>
  <c r="K26"/>
  <c r="L26"/>
  <c r="K27"/>
  <c r="L27"/>
  <c r="L29"/>
  <c r="R29" s="1"/>
  <c r="N29"/>
  <c r="O29"/>
  <c r="P29"/>
  <c r="Q29"/>
  <c r="E31"/>
  <c r="F31"/>
  <c r="B49"/>
  <c r="C49"/>
  <c r="D49"/>
  <c r="E50"/>
  <c r="F50"/>
  <c r="E51"/>
  <c r="F51"/>
  <c r="B52"/>
  <c r="C52"/>
  <c r="D52"/>
  <c r="E53"/>
  <c r="E54"/>
  <c r="H59"/>
  <c r="K60"/>
  <c r="L60"/>
  <c r="K61"/>
  <c r="L61"/>
  <c r="K62"/>
  <c r="L62"/>
  <c r="K63"/>
  <c r="L63"/>
  <c r="H64"/>
  <c r="N64" s="1"/>
  <c r="E69"/>
  <c r="E70"/>
  <c r="F70"/>
  <c r="B71"/>
  <c r="C71"/>
  <c r="E71" s="1"/>
  <c r="D71"/>
  <c r="H11" i="6"/>
  <c r="I11"/>
  <c r="H12"/>
  <c r="I12"/>
  <c r="H13"/>
  <c r="H14"/>
  <c r="H15"/>
  <c r="H16"/>
  <c r="H17"/>
  <c r="H18"/>
  <c r="H19"/>
  <c r="H20"/>
  <c r="H21"/>
  <c r="H22"/>
  <c r="I24"/>
  <c r="E26"/>
  <c r="E54" s="1"/>
  <c r="F26"/>
  <c r="G26"/>
  <c r="J26"/>
  <c r="H30"/>
  <c r="I30"/>
  <c r="H31"/>
  <c r="H32"/>
  <c r="H33"/>
  <c r="H34"/>
  <c r="H35"/>
  <c r="H36"/>
  <c r="H37"/>
  <c r="H38"/>
  <c r="H39"/>
  <c r="H40"/>
  <c r="H41"/>
  <c r="H42"/>
  <c r="E44"/>
  <c r="F44"/>
  <c r="J44" s="1"/>
  <c r="G44"/>
  <c r="I44"/>
  <c r="G49"/>
  <c r="G50"/>
  <c r="H50"/>
  <c r="E52"/>
  <c r="F52"/>
  <c r="I52"/>
  <c r="H61"/>
  <c r="H64"/>
  <c r="I61"/>
  <c r="I64" s="1"/>
  <c r="H62"/>
  <c r="I62"/>
  <c r="E64"/>
  <c r="E79" s="1"/>
  <c r="F64"/>
  <c r="G64"/>
  <c r="H68"/>
  <c r="I68"/>
  <c r="H69"/>
  <c r="H70"/>
  <c r="I70"/>
  <c r="H71"/>
  <c r="I71" s="1"/>
  <c r="H72"/>
  <c r="I72"/>
  <c r="H73"/>
  <c r="I73" s="1"/>
  <c r="H74"/>
  <c r="I74"/>
  <c r="H75"/>
  <c r="I75" s="1"/>
  <c r="E77"/>
  <c r="F77"/>
  <c r="G77"/>
  <c r="H91"/>
  <c r="H92"/>
  <c r="I92"/>
  <c r="H94"/>
  <c r="I94"/>
  <c r="H95"/>
  <c r="I95"/>
  <c r="E97"/>
  <c r="F97"/>
  <c r="G97"/>
  <c r="J97"/>
  <c r="H100"/>
  <c r="I100"/>
  <c r="H101"/>
  <c r="I101"/>
  <c r="H102"/>
  <c r="I102"/>
  <c r="H103"/>
  <c r="I103"/>
  <c r="H104"/>
  <c r="I104"/>
  <c r="H105"/>
  <c r="I105"/>
  <c r="H106"/>
  <c r="I106"/>
  <c r="E108"/>
  <c r="E146" s="1"/>
  <c r="F108"/>
  <c r="G108"/>
  <c r="H113"/>
  <c r="H115"/>
  <c r="H117"/>
  <c r="H119"/>
  <c r="H121"/>
  <c r="I121"/>
  <c r="H123"/>
  <c r="I123"/>
  <c r="H125"/>
  <c r="I125"/>
  <c r="H127"/>
  <c r="I127"/>
  <c r="H129"/>
  <c r="I129"/>
  <c r="H131"/>
  <c r="I131"/>
  <c r="H133"/>
  <c r="I133"/>
  <c r="H135"/>
  <c r="I135"/>
  <c r="H137"/>
  <c r="I137"/>
  <c r="H139"/>
  <c r="I139" s="1"/>
  <c r="E141"/>
  <c r="F141"/>
  <c r="G141"/>
  <c r="H154"/>
  <c r="H157" s="1"/>
  <c r="I154"/>
  <c r="I157" s="1"/>
  <c r="H155"/>
  <c r="E157"/>
  <c r="F157"/>
  <c r="J157" s="1"/>
  <c r="G157"/>
  <c r="H161"/>
  <c r="H162"/>
  <c r="I162"/>
  <c r="H163"/>
  <c r="I163" s="1"/>
  <c r="E164"/>
  <c r="F164"/>
  <c r="G164"/>
  <c r="F166"/>
  <c r="H179"/>
  <c r="I181"/>
  <c r="H182"/>
  <c r="I182"/>
  <c r="H184"/>
  <c r="H199" s="1"/>
  <c r="H185"/>
  <c r="H186"/>
  <c r="H187"/>
  <c r="H189"/>
  <c r="H190"/>
  <c r="H191"/>
  <c r="H192"/>
  <c r="H193"/>
  <c r="H194"/>
  <c r="H195"/>
  <c r="H196"/>
  <c r="E199"/>
  <c r="F199"/>
  <c r="G199"/>
  <c r="H203"/>
  <c r="H204"/>
  <c r="H205"/>
  <c r="H223"/>
  <c r="H224"/>
  <c r="H225"/>
  <c r="H226"/>
  <c r="H227"/>
  <c r="H228"/>
  <c r="H229"/>
  <c r="H230"/>
  <c r="I230"/>
  <c r="H231"/>
  <c r="H232"/>
  <c r="H233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I252"/>
  <c r="H253"/>
  <c r="H254"/>
  <c r="H255"/>
  <c r="H256"/>
  <c r="H257"/>
  <c r="H258"/>
  <c r="H261"/>
  <c r="H262"/>
  <c r="I262"/>
  <c r="H263"/>
  <c r="H265"/>
  <c r="G266"/>
  <c r="H266"/>
  <c r="H267"/>
  <c r="H268"/>
  <c r="F270"/>
  <c r="H270" s="1"/>
  <c r="F376"/>
  <c r="F387" s="1"/>
  <c r="I270"/>
  <c r="H271"/>
  <c r="H273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G296"/>
  <c r="H296" s="1"/>
  <c r="H297"/>
  <c r="H298"/>
  <c r="H301"/>
  <c r="I301"/>
  <c r="H306"/>
  <c r="H308"/>
  <c r="H309"/>
  <c r="H310"/>
  <c r="H311"/>
  <c r="H312"/>
  <c r="H313"/>
  <c r="H314"/>
  <c r="H315"/>
  <c r="H318"/>
  <c r="H320"/>
  <c r="H321"/>
  <c r="H323"/>
  <c r="H324"/>
  <c r="H325"/>
  <c r="H326"/>
  <c r="H327"/>
  <c r="H329"/>
  <c r="H330"/>
  <c r="H331"/>
  <c r="H332"/>
  <c r="H333"/>
  <c r="H335"/>
  <c r="H337"/>
  <c r="H338"/>
  <c r="H340"/>
  <c r="H341"/>
  <c r="H343"/>
  <c r="H344"/>
  <c r="H345"/>
  <c r="H346"/>
  <c r="H347"/>
  <c r="H348"/>
  <c r="H350"/>
  <c r="H351"/>
  <c r="H356"/>
  <c r="H357"/>
  <c r="H358"/>
  <c r="H359"/>
  <c r="H361"/>
  <c r="H362"/>
  <c r="H365"/>
  <c r="H366"/>
  <c r="H372"/>
  <c r="E376"/>
  <c r="G376"/>
  <c r="H381"/>
  <c r="H384" s="1"/>
  <c r="I381"/>
  <c r="H382"/>
  <c r="E384"/>
  <c r="F384"/>
  <c r="G384"/>
  <c r="I387"/>
  <c r="H397"/>
  <c r="H400"/>
  <c r="I397"/>
  <c r="H398"/>
  <c r="I398"/>
  <c r="E400"/>
  <c r="F400"/>
  <c r="F501" s="1"/>
  <c r="G400"/>
  <c r="J400" s="1"/>
  <c r="H406"/>
  <c r="H409"/>
  <c r="H410"/>
  <c r="H411"/>
  <c r="H412"/>
  <c r="H413"/>
  <c r="H414"/>
  <c r="H415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3"/>
  <c r="H444"/>
  <c r="C442" s="1"/>
  <c r="H446"/>
  <c r="H447"/>
  <c r="H448"/>
  <c r="H449"/>
  <c r="H450"/>
  <c r="H451"/>
  <c r="H452"/>
  <c r="H453"/>
  <c r="H454"/>
  <c r="H455"/>
  <c r="H456"/>
  <c r="H457"/>
  <c r="H458"/>
  <c r="H459"/>
  <c r="H461"/>
  <c r="H462"/>
  <c r="H463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91"/>
  <c r="H492"/>
  <c r="H493"/>
  <c r="H496"/>
  <c r="H497"/>
  <c r="E499"/>
  <c r="E501" s="1"/>
  <c r="F499"/>
  <c r="J499" s="1"/>
  <c r="G499"/>
  <c r="G501"/>
  <c r="I501"/>
  <c r="K508"/>
  <c r="H520"/>
  <c r="F522"/>
  <c r="F531" s="1"/>
  <c r="G522"/>
  <c r="G531" s="1"/>
  <c r="H522"/>
  <c r="H526"/>
  <c r="H528" s="1"/>
  <c r="E528"/>
  <c r="E531" s="1"/>
  <c r="F528"/>
  <c r="J528" s="1"/>
  <c r="G528"/>
  <c r="I528"/>
  <c r="I531" s="1"/>
  <c r="H536"/>
  <c r="H537"/>
  <c r="H538"/>
  <c r="H539"/>
  <c r="H540"/>
  <c r="F542"/>
  <c r="G542"/>
  <c r="H545"/>
  <c r="H551"/>
  <c r="H546"/>
  <c r="H549"/>
  <c r="E551"/>
  <c r="F551"/>
  <c r="J551" s="1"/>
  <c r="G551"/>
  <c r="E553"/>
  <c r="I553"/>
  <c r="H556"/>
  <c r="H557"/>
  <c r="E561"/>
  <c r="F561"/>
  <c r="J561" s="1"/>
  <c r="G561"/>
  <c r="H561"/>
  <c r="D15" i="5"/>
  <c r="C16"/>
  <c r="E23"/>
  <c r="F23"/>
  <c r="E24"/>
  <c r="F24"/>
  <c r="E25"/>
  <c r="F25"/>
  <c r="M27"/>
  <c r="S27"/>
  <c r="M29"/>
  <c r="S29"/>
  <c r="B42"/>
  <c r="C42"/>
  <c r="D42"/>
  <c r="E43"/>
  <c r="E44"/>
  <c r="E46"/>
  <c r="E47"/>
  <c r="B48"/>
  <c r="C48"/>
  <c r="D48"/>
  <c r="F48"/>
  <c r="E49"/>
  <c r="E50"/>
  <c r="E51"/>
  <c r="E52"/>
  <c r="E53"/>
  <c r="H53"/>
  <c r="C55"/>
  <c r="D55"/>
  <c r="C56"/>
  <c r="F56" s="1"/>
  <c r="D56"/>
  <c r="E58"/>
  <c r="F58" s="1"/>
  <c r="E59"/>
  <c r="F59"/>
  <c r="B60"/>
  <c r="C60"/>
  <c r="D60"/>
  <c r="E60"/>
  <c r="E8" i="7"/>
  <c r="J8"/>
  <c r="K8" s="1"/>
  <c r="O8"/>
  <c r="P8" s="1"/>
  <c r="T8"/>
  <c r="U8" s="1"/>
  <c r="Y8"/>
  <c r="Z8" s="1"/>
  <c r="AD8"/>
  <c r="AE8" s="1"/>
  <c r="AI8"/>
  <c r="AJ8" s="1"/>
  <c r="AN8"/>
  <c r="AO8" s="1"/>
  <c r="AS8"/>
  <c r="AT8" s="1"/>
  <c r="AX8"/>
  <c r="AY8" s="1"/>
  <c r="BC8"/>
  <c r="BD8" s="1"/>
  <c r="BH8"/>
  <c r="BI8" s="1"/>
  <c r="BM8"/>
  <c r="BN8" s="1"/>
  <c r="BR8"/>
  <c r="BS8" s="1"/>
  <c r="BW8"/>
  <c r="BX8" s="1"/>
  <c r="CB8"/>
  <c r="CC8" s="1"/>
  <c r="CD8"/>
  <c r="E9"/>
  <c r="J9"/>
  <c r="K9" s="1"/>
  <c r="O9"/>
  <c r="P9" s="1"/>
  <c r="T9"/>
  <c r="U9" s="1"/>
  <c r="Y9"/>
  <c r="Z9" s="1"/>
  <c r="AD9"/>
  <c r="AE9" s="1"/>
  <c r="AI9"/>
  <c r="AJ9" s="1"/>
  <c r="AN9"/>
  <c r="AO9" s="1"/>
  <c r="AS9"/>
  <c r="AT9" s="1"/>
  <c r="AX9"/>
  <c r="AY9" s="1"/>
  <c r="BC9"/>
  <c r="BD9" s="1"/>
  <c r="BH9"/>
  <c r="BI9" s="1"/>
  <c r="BM9"/>
  <c r="BN9" s="1"/>
  <c r="BR9"/>
  <c r="BS9" s="1"/>
  <c r="BW9"/>
  <c r="BX9" s="1"/>
  <c r="CB9"/>
  <c r="CC9" s="1"/>
  <c r="E10"/>
  <c r="J10"/>
  <c r="K10" s="1"/>
  <c r="O10"/>
  <c r="P10" s="1"/>
  <c r="T10"/>
  <c r="U10" s="1"/>
  <c r="Y10"/>
  <c r="Z10" s="1"/>
  <c r="AD10"/>
  <c r="AE10" s="1"/>
  <c r="AI10"/>
  <c r="AJ10" s="1"/>
  <c r="AN10"/>
  <c r="AO10" s="1"/>
  <c r="AS10"/>
  <c r="AT10" s="1"/>
  <c r="AX10"/>
  <c r="AY10" s="1"/>
  <c r="BC10"/>
  <c r="BD10" s="1"/>
  <c r="BH10"/>
  <c r="BI10" s="1"/>
  <c r="BM10"/>
  <c r="BN10" s="1"/>
  <c r="BR10"/>
  <c r="BS10" s="1"/>
  <c r="BW10"/>
  <c r="BX10" s="1"/>
  <c r="CB10"/>
  <c r="CC10" s="1"/>
  <c r="E11"/>
  <c r="J11"/>
  <c r="K11" s="1"/>
  <c r="O11"/>
  <c r="P11" s="1"/>
  <c r="T11"/>
  <c r="U11" s="1"/>
  <c r="Y11"/>
  <c r="Z11" s="1"/>
  <c r="AD11"/>
  <c r="AI11"/>
  <c r="AJ11" s="1"/>
  <c r="AN11"/>
  <c r="AO11" s="1"/>
  <c r="AS11"/>
  <c r="AT11" s="1"/>
  <c r="AX11"/>
  <c r="AY11" s="1"/>
  <c r="BC11"/>
  <c r="BD11" s="1"/>
  <c r="BH11"/>
  <c r="BI11" s="1"/>
  <c r="BM11"/>
  <c r="BN11" s="1"/>
  <c r="BR11"/>
  <c r="BS11" s="1"/>
  <c r="BW11"/>
  <c r="BX11" s="1"/>
  <c r="CB11"/>
  <c r="CC11" s="1"/>
  <c r="E18"/>
  <c r="J18"/>
  <c r="O18"/>
  <c r="T18"/>
  <c r="Y18"/>
  <c r="AD18"/>
  <c r="AI18"/>
  <c r="AN18"/>
  <c r="AS18"/>
  <c r="AX18"/>
  <c r="BC18"/>
  <c r="BH18"/>
  <c r="BM18"/>
  <c r="BR18"/>
  <c r="BW18"/>
  <c r="CB18"/>
  <c r="CD18"/>
  <c r="CE18"/>
  <c r="CF18"/>
  <c r="CD19"/>
  <c r="CE19"/>
  <c r="CF19"/>
  <c r="CG19"/>
  <c r="CH19"/>
  <c r="J20"/>
  <c r="T20"/>
  <c r="Y20"/>
  <c r="AD20"/>
  <c r="AI20"/>
  <c r="AS20"/>
  <c r="AX20"/>
  <c r="BC20"/>
  <c r="BH20"/>
  <c r="BM20"/>
  <c r="BR20"/>
  <c r="BW20"/>
  <c r="CD20"/>
  <c r="CE20"/>
  <c r="CF20"/>
  <c r="CH20"/>
  <c r="CD21"/>
  <c r="CE21"/>
  <c r="CF21"/>
  <c r="CG21"/>
  <c r="CH21"/>
  <c r="CD22"/>
  <c r="CE22"/>
  <c r="CF22"/>
  <c r="CG22"/>
  <c r="CH22"/>
  <c r="E23"/>
  <c r="CG23"/>
  <c r="E15" i="5" s="1"/>
  <c r="J23" i="7"/>
  <c r="P23"/>
  <c r="Z23"/>
  <c r="AE23"/>
  <c r="AE35" s="1"/>
  <c r="AI23"/>
  <c r="AN23"/>
  <c r="AT23"/>
  <c r="AY23"/>
  <c r="BC23"/>
  <c r="BI23"/>
  <c r="BI35" s="1"/>
  <c r="BM23"/>
  <c r="BS23"/>
  <c r="BS35"/>
  <c r="BX23"/>
  <c r="BX35" s="1"/>
  <c r="CC23"/>
  <c r="CD23"/>
  <c r="B15" i="5"/>
  <c r="CE23" i="7"/>
  <c r="C15" i="5" s="1"/>
  <c r="CF23" i="7"/>
  <c r="E24"/>
  <c r="J24"/>
  <c r="O24"/>
  <c r="T24"/>
  <c r="Y24"/>
  <c r="AD24"/>
  <c r="AI24"/>
  <c r="AN24"/>
  <c r="AS24"/>
  <c r="AX24"/>
  <c r="BC24"/>
  <c r="BH24"/>
  <c r="BM24"/>
  <c r="BR24"/>
  <c r="BW24"/>
  <c r="CB24"/>
  <c r="CD24"/>
  <c r="B16" i="5" s="1"/>
  <c r="CE24" i="7"/>
  <c r="CF24"/>
  <c r="D16" i="5" s="1"/>
  <c r="CH24" i="7"/>
  <c r="F16" i="5"/>
  <c r="Y25" i="7"/>
  <c r="CG25" s="1"/>
  <c r="CD25"/>
  <c r="CE25"/>
  <c r="CF25"/>
  <c r="CH25"/>
  <c r="E26"/>
  <c r="J26"/>
  <c r="O26"/>
  <c r="T26"/>
  <c r="Y26"/>
  <c r="AD26"/>
  <c r="AI26"/>
  <c r="AN26"/>
  <c r="AS26"/>
  <c r="AX26"/>
  <c r="BC26"/>
  <c r="BH26"/>
  <c r="BM26"/>
  <c r="BR26"/>
  <c r="BW26"/>
  <c r="CB26"/>
  <c r="CD26"/>
  <c r="CE26"/>
  <c r="CF26"/>
  <c r="CH26"/>
  <c r="E27"/>
  <c r="J27"/>
  <c r="O27"/>
  <c r="T27"/>
  <c r="Y27"/>
  <c r="AD27"/>
  <c r="AI27"/>
  <c r="AN27"/>
  <c r="AS27"/>
  <c r="AX27"/>
  <c r="BC27"/>
  <c r="BH27"/>
  <c r="BM27"/>
  <c r="BR27"/>
  <c r="BW27"/>
  <c r="CB27"/>
  <c r="CD27"/>
  <c r="CE27"/>
  <c r="CF27"/>
  <c r="CH27"/>
  <c r="J28"/>
  <c r="O28"/>
  <c r="T28"/>
  <c r="Y28"/>
  <c r="AD28"/>
  <c r="AI28"/>
  <c r="AN28"/>
  <c r="AS28"/>
  <c r="AX28"/>
  <c r="BC28"/>
  <c r="BH28"/>
  <c r="BM28"/>
  <c r="BR28"/>
  <c r="BW28"/>
  <c r="CB28"/>
  <c r="CD28"/>
  <c r="CE28"/>
  <c r="CF28"/>
  <c r="CH28"/>
  <c r="F19" i="5"/>
  <c r="E29" i="7"/>
  <c r="J29"/>
  <c r="O29"/>
  <c r="T29"/>
  <c r="Y29"/>
  <c r="AD29"/>
  <c r="AI29"/>
  <c r="AN29"/>
  <c r="AS29"/>
  <c r="AX29"/>
  <c r="BC29"/>
  <c r="BH29"/>
  <c r="BM29"/>
  <c r="BR29"/>
  <c r="BW29"/>
  <c r="CB29"/>
  <c r="CD29"/>
  <c r="CE29"/>
  <c r="CF29"/>
  <c r="CG29"/>
  <c r="CH29"/>
  <c r="E30"/>
  <c r="J30"/>
  <c r="O30"/>
  <c r="T30"/>
  <c r="Y30"/>
  <c r="AD30"/>
  <c r="AI30"/>
  <c r="AN30"/>
  <c r="AS30"/>
  <c r="AX30"/>
  <c r="BC30"/>
  <c r="BH30"/>
  <c r="BM30"/>
  <c r="BR30"/>
  <c r="BW30"/>
  <c r="CB30"/>
  <c r="CD30"/>
  <c r="CE30"/>
  <c r="CF30"/>
  <c r="CH30"/>
  <c r="E31"/>
  <c r="J31"/>
  <c r="O31"/>
  <c r="T31"/>
  <c r="Y31"/>
  <c r="AD31"/>
  <c r="AI31"/>
  <c r="AN31"/>
  <c r="AS31"/>
  <c r="AX31"/>
  <c r="BC31"/>
  <c r="BH31"/>
  <c r="BM31"/>
  <c r="BR31"/>
  <c r="BW31"/>
  <c r="CB31"/>
  <c r="CD31"/>
  <c r="CE31"/>
  <c r="CF31"/>
  <c r="CH31"/>
  <c r="E32"/>
  <c r="J32"/>
  <c r="O32"/>
  <c r="T32"/>
  <c r="Y32"/>
  <c r="AD32"/>
  <c r="AI32"/>
  <c r="AN32"/>
  <c r="AS32"/>
  <c r="AX32"/>
  <c r="BC32"/>
  <c r="BH32"/>
  <c r="BM32"/>
  <c r="BR32"/>
  <c r="BW32"/>
  <c r="CB32"/>
  <c r="CD32"/>
  <c r="CE32"/>
  <c r="CF32"/>
  <c r="CH32"/>
  <c r="E33"/>
  <c r="J33"/>
  <c r="O33"/>
  <c r="T33"/>
  <c r="Y33"/>
  <c r="AD33"/>
  <c r="AI33"/>
  <c r="AN33"/>
  <c r="AS33"/>
  <c r="AX33"/>
  <c r="BC33"/>
  <c r="BH33"/>
  <c r="BM33"/>
  <c r="BR33"/>
  <c r="BW33"/>
  <c r="CB33"/>
  <c r="CD33"/>
  <c r="CE33"/>
  <c r="CG33" s="1"/>
  <c r="CF33"/>
  <c r="CH33"/>
  <c r="E34"/>
  <c r="J34"/>
  <c r="O34"/>
  <c r="T34"/>
  <c r="Y34"/>
  <c r="AD34"/>
  <c r="AI34"/>
  <c r="AN34"/>
  <c r="AS34"/>
  <c r="AX34"/>
  <c r="BC34"/>
  <c r="BH34"/>
  <c r="BM34"/>
  <c r="BR34"/>
  <c r="BW34"/>
  <c r="CB34"/>
  <c r="CD34"/>
  <c r="CE34"/>
  <c r="CF34"/>
  <c r="CH34"/>
  <c r="B35"/>
  <c r="C35"/>
  <c r="D35"/>
  <c r="F35"/>
  <c r="G35"/>
  <c r="G46" s="1"/>
  <c r="G61" s="1"/>
  <c r="H35"/>
  <c r="I35"/>
  <c r="K35"/>
  <c r="L35"/>
  <c r="L46" s="1"/>
  <c r="L61" s="1"/>
  <c r="L106" s="1"/>
  <c r="M35"/>
  <c r="N35"/>
  <c r="Q35"/>
  <c r="R35"/>
  <c r="R46" s="1"/>
  <c r="R61" s="1"/>
  <c r="S35"/>
  <c r="U35"/>
  <c r="U46"/>
  <c r="U61"/>
  <c r="V35"/>
  <c r="W35"/>
  <c r="X35"/>
  <c r="Z35"/>
  <c r="AA35"/>
  <c r="AB35"/>
  <c r="AC35"/>
  <c r="AF35"/>
  <c r="AG35"/>
  <c r="AH35"/>
  <c r="AH46" s="1"/>
  <c r="AJ35"/>
  <c r="AK35"/>
  <c r="AK46"/>
  <c r="AK61"/>
  <c r="AL35"/>
  <c r="AM35"/>
  <c r="AO35"/>
  <c r="AO46" s="1"/>
  <c r="AO61" s="1"/>
  <c r="AP35"/>
  <c r="AP46" s="1"/>
  <c r="AQ35"/>
  <c r="AR35"/>
  <c r="AT35"/>
  <c r="AU35"/>
  <c r="AV35"/>
  <c r="AW35"/>
  <c r="AY35"/>
  <c r="AZ35"/>
  <c r="AZ46" s="1"/>
  <c r="BA35"/>
  <c r="BB35"/>
  <c r="BD35"/>
  <c r="BE35"/>
  <c r="BE46" s="1"/>
  <c r="BE61" s="1"/>
  <c r="BF35"/>
  <c r="BG35"/>
  <c r="BI46"/>
  <c r="BI61" s="1"/>
  <c r="BJ35"/>
  <c r="BK35"/>
  <c r="BL35"/>
  <c r="BN35"/>
  <c r="BO35"/>
  <c r="BP35"/>
  <c r="BP46" s="1"/>
  <c r="BQ35"/>
  <c r="BT35"/>
  <c r="BU35"/>
  <c r="BV35"/>
  <c r="BY35"/>
  <c r="BY46"/>
  <c r="BY61"/>
  <c r="BZ35"/>
  <c r="CA35"/>
  <c r="CC35"/>
  <c r="CE35"/>
  <c r="CD36"/>
  <c r="CE36"/>
  <c r="CF36"/>
  <c r="CG36"/>
  <c r="CH36"/>
  <c r="CH45" s="1"/>
  <c r="AI37"/>
  <c r="AX37"/>
  <c r="CD37"/>
  <c r="CE37"/>
  <c r="CE45" s="1"/>
  <c r="CE46" s="1"/>
  <c r="CF37"/>
  <c r="CH37"/>
  <c r="E38"/>
  <c r="J38"/>
  <c r="O38"/>
  <c r="T38"/>
  <c r="Y38"/>
  <c r="AD38"/>
  <c r="AI38"/>
  <c r="AN38"/>
  <c r="AS38"/>
  <c r="AX38"/>
  <c r="AX45" s="1"/>
  <c r="BC38"/>
  <c r="BC45"/>
  <c r="BH38"/>
  <c r="BM38"/>
  <c r="BR38"/>
  <c r="BW38"/>
  <c r="BW45" s="1"/>
  <c r="CB38"/>
  <c r="CD38"/>
  <c r="CE38"/>
  <c r="CF38"/>
  <c r="CH38"/>
  <c r="E39"/>
  <c r="J39"/>
  <c r="O39"/>
  <c r="T39"/>
  <c r="Y39"/>
  <c r="AD39"/>
  <c r="AI39"/>
  <c r="AN39"/>
  <c r="AS39"/>
  <c r="AX39"/>
  <c r="BC39"/>
  <c r="BH39"/>
  <c r="BM39"/>
  <c r="BR39"/>
  <c r="BW39"/>
  <c r="CB39"/>
  <c r="CD39"/>
  <c r="CD45" s="1"/>
  <c r="CE39"/>
  <c r="CF39"/>
  <c r="CH39"/>
  <c r="E40"/>
  <c r="CG40" s="1"/>
  <c r="J40"/>
  <c r="O40"/>
  <c r="O45" s="1"/>
  <c r="T40"/>
  <c r="Y40"/>
  <c r="AD40"/>
  <c r="AI40"/>
  <c r="AN40"/>
  <c r="AS40"/>
  <c r="AX40"/>
  <c r="BC40"/>
  <c r="BH40"/>
  <c r="BM40"/>
  <c r="BR40"/>
  <c r="BW40"/>
  <c r="CB40"/>
  <c r="CD40"/>
  <c r="CE40"/>
  <c r="CF40"/>
  <c r="CH40"/>
  <c r="E41"/>
  <c r="J41"/>
  <c r="O41"/>
  <c r="T41"/>
  <c r="Y41"/>
  <c r="AD41"/>
  <c r="AI41"/>
  <c r="AN41"/>
  <c r="AS41"/>
  <c r="AX41"/>
  <c r="BC41"/>
  <c r="BH41"/>
  <c r="BM41"/>
  <c r="BR41"/>
  <c r="BW41"/>
  <c r="CB41"/>
  <c r="CD41"/>
  <c r="CE41"/>
  <c r="CF41"/>
  <c r="CG41"/>
  <c r="CH41"/>
  <c r="E42"/>
  <c r="J42"/>
  <c r="O42"/>
  <c r="T42"/>
  <c r="Y42"/>
  <c r="AD42"/>
  <c r="AI42"/>
  <c r="AN42"/>
  <c r="AS42"/>
  <c r="AX42"/>
  <c r="BC42"/>
  <c r="BH42"/>
  <c r="BM42"/>
  <c r="BR42"/>
  <c r="BW42"/>
  <c r="CB42"/>
  <c r="CD42"/>
  <c r="CE42"/>
  <c r="CF42"/>
  <c r="CH42"/>
  <c r="E43"/>
  <c r="J43"/>
  <c r="O43"/>
  <c r="T43"/>
  <c r="Y43"/>
  <c r="AD43"/>
  <c r="AI43"/>
  <c r="AN43"/>
  <c r="AS43"/>
  <c r="AX43"/>
  <c r="BC43"/>
  <c r="BH43"/>
  <c r="BM43"/>
  <c r="BR43"/>
  <c r="BW43"/>
  <c r="CB43"/>
  <c r="CD43"/>
  <c r="CE43"/>
  <c r="CG43" s="1"/>
  <c r="CF43"/>
  <c r="E44"/>
  <c r="J44"/>
  <c r="O44"/>
  <c r="T44"/>
  <c r="Y44"/>
  <c r="AD44"/>
  <c r="AI44"/>
  <c r="AN44"/>
  <c r="AS44"/>
  <c r="AX44"/>
  <c r="BC44"/>
  <c r="BH44"/>
  <c r="BM44"/>
  <c r="BR44"/>
  <c r="BW44"/>
  <c r="CB44"/>
  <c r="CD44"/>
  <c r="CE44"/>
  <c r="CG44" s="1"/>
  <c r="CF44"/>
  <c r="B45"/>
  <c r="C45"/>
  <c r="C46"/>
  <c r="C61" s="1"/>
  <c r="D45"/>
  <c r="F45"/>
  <c r="G45"/>
  <c r="H45"/>
  <c r="I45"/>
  <c r="K45"/>
  <c r="K46"/>
  <c r="K61" s="1"/>
  <c r="L45"/>
  <c r="M45"/>
  <c r="N45"/>
  <c r="N46" s="1"/>
  <c r="N61" s="1"/>
  <c r="P45"/>
  <c r="Q45"/>
  <c r="R45"/>
  <c r="S45"/>
  <c r="S46"/>
  <c r="S61" s="1"/>
  <c r="U45"/>
  <c r="V45"/>
  <c r="V46"/>
  <c r="V61"/>
  <c r="W45"/>
  <c r="W46" s="1"/>
  <c r="X45"/>
  <c r="X46" s="1"/>
  <c r="X61" s="1"/>
  <c r="Z45"/>
  <c r="AA45"/>
  <c r="AA46"/>
  <c r="AA61" s="1"/>
  <c r="AB45"/>
  <c r="AC45"/>
  <c r="AC46" s="1"/>
  <c r="AC61" s="1"/>
  <c r="AD45"/>
  <c r="AE45"/>
  <c r="AF45"/>
  <c r="AG45"/>
  <c r="AG46" s="1"/>
  <c r="AH45"/>
  <c r="AJ45"/>
  <c r="AJ46" s="1"/>
  <c r="AJ61" s="1"/>
  <c r="AK45"/>
  <c r="AL45"/>
  <c r="AL46"/>
  <c r="AL61"/>
  <c r="AM45"/>
  <c r="AM46" s="1"/>
  <c r="AM61" s="1"/>
  <c r="AO45"/>
  <c r="AP45"/>
  <c r="AQ45"/>
  <c r="AQ46"/>
  <c r="AR45"/>
  <c r="AR46" s="1"/>
  <c r="AT45"/>
  <c r="AT46" s="1"/>
  <c r="AT61" s="1"/>
  <c r="AU45"/>
  <c r="AV45"/>
  <c r="AW45"/>
  <c r="AW46" s="1"/>
  <c r="AW61" s="1"/>
  <c r="AY45"/>
  <c r="AY46" s="1"/>
  <c r="AY61" s="1"/>
  <c r="AZ45"/>
  <c r="BA45"/>
  <c r="BA46" s="1"/>
  <c r="BB45"/>
  <c r="BB46" s="1"/>
  <c r="BB61" s="1"/>
  <c r="BB106" s="1"/>
  <c r="BD45"/>
  <c r="BE45"/>
  <c r="BF45"/>
  <c r="BG45"/>
  <c r="BG46" s="1"/>
  <c r="BG61" s="1"/>
  <c r="BI45"/>
  <c r="BJ45"/>
  <c r="BJ46"/>
  <c r="BJ61" s="1"/>
  <c r="BK45"/>
  <c r="BK46"/>
  <c r="BK61" s="1"/>
  <c r="BL45"/>
  <c r="BL46" s="1"/>
  <c r="BL61" s="1"/>
  <c r="BN45"/>
  <c r="BN46" s="1"/>
  <c r="BN61" s="1"/>
  <c r="BO45"/>
  <c r="BO46"/>
  <c r="BO61" s="1"/>
  <c r="BP45"/>
  <c r="BQ45"/>
  <c r="BS45"/>
  <c r="BS46"/>
  <c r="BT45"/>
  <c r="BU45"/>
  <c r="BV45"/>
  <c r="BV46" s="1"/>
  <c r="BV61" s="1"/>
  <c r="BX45"/>
  <c r="BX46" s="1"/>
  <c r="BY45"/>
  <c r="BZ45"/>
  <c r="BZ46"/>
  <c r="BZ61"/>
  <c r="CA45"/>
  <c r="CA46" s="1"/>
  <c r="CC45"/>
  <c r="D46"/>
  <c r="F46"/>
  <c r="F61" s="1"/>
  <c r="H46"/>
  <c r="I46"/>
  <c r="I61"/>
  <c r="M46"/>
  <c r="M61" s="1"/>
  <c r="M106" s="1"/>
  <c r="Q46"/>
  <c r="Q61" s="1"/>
  <c r="AB46"/>
  <c r="AB61" s="1"/>
  <c r="AC106"/>
  <c r="AP61"/>
  <c r="AV46"/>
  <c r="AZ61"/>
  <c r="BD46"/>
  <c r="BF46"/>
  <c r="BF61"/>
  <c r="BP61"/>
  <c r="BQ46"/>
  <c r="BQ61" s="1"/>
  <c r="BT46"/>
  <c r="BU46"/>
  <c r="BU61" s="1"/>
  <c r="CC46"/>
  <c r="E47"/>
  <c r="J47"/>
  <c r="O47"/>
  <c r="T47"/>
  <c r="Y47"/>
  <c r="AD47"/>
  <c r="AI47"/>
  <c r="AN47"/>
  <c r="AS47"/>
  <c r="AX47"/>
  <c r="BC47"/>
  <c r="BH47"/>
  <c r="BM47"/>
  <c r="BR47"/>
  <c r="BW47"/>
  <c r="CB47"/>
  <c r="CC47"/>
  <c r="CD47"/>
  <c r="CE47"/>
  <c r="CF47"/>
  <c r="E48"/>
  <c r="J48"/>
  <c r="O48"/>
  <c r="T48"/>
  <c r="Y48"/>
  <c r="AD48"/>
  <c r="AI48"/>
  <c r="AN48"/>
  <c r="AS48"/>
  <c r="AX48"/>
  <c r="BC48"/>
  <c r="BH48"/>
  <c r="BM48"/>
  <c r="BR48"/>
  <c r="BW48"/>
  <c r="CB48"/>
  <c r="CC48"/>
  <c r="CD48"/>
  <c r="CE48"/>
  <c r="CG48"/>
  <c r="CF48"/>
  <c r="E49"/>
  <c r="J49"/>
  <c r="O49"/>
  <c r="T49"/>
  <c r="Y49"/>
  <c r="AD49"/>
  <c r="AI49"/>
  <c r="AN49"/>
  <c r="AS49"/>
  <c r="AX49"/>
  <c r="BC49"/>
  <c r="BH49"/>
  <c r="BM49"/>
  <c r="BR49"/>
  <c r="BW49"/>
  <c r="BW60" s="1"/>
  <c r="CB49"/>
  <c r="CC49"/>
  <c r="CD49"/>
  <c r="CE49"/>
  <c r="CG49" s="1"/>
  <c r="CF49"/>
  <c r="E50"/>
  <c r="J50"/>
  <c r="O50"/>
  <c r="T50"/>
  <c r="Y50"/>
  <c r="AD50"/>
  <c r="AI50"/>
  <c r="AN50"/>
  <c r="AS50"/>
  <c r="AX50"/>
  <c r="BC50"/>
  <c r="BH50"/>
  <c r="BM50"/>
  <c r="BR50"/>
  <c r="BW50"/>
  <c r="CB50"/>
  <c r="CC50"/>
  <c r="CD50"/>
  <c r="CE50"/>
  <c r="CF50"/>
  <c r="E51"/>
  <c r="J51"/>
  <c r="O51"/>
  <c r="T51"/>
  <c r="Y51"/>
  <c r="AD51"/>
  <c r="AI51"/>
  <c r="AN51"/>
  <c r="AS51"/>
  <c r="AX51"/>
  <c r="BC51"/>
  <c r="BH51"/>
  <c r="BM51"/>
  <c r="BR51"/>
  <c r="BW51"/>
  <c r="CB51"/>
  <c r="CC51"/>
  <c r="CD51"/>
  <c r="CE51"/>
  <c r="CF51"/>
  <c r="E52"/>
  <c r="J52"/>
  <c r="O52"/>
  <c r="T52"/>
  <c r="Y52"/>
  <c r="AD52"/>
  <c r="AI52"/>
  <c r="AN52"/>
  <c r="AS52"/>
  <c r="AX52"/>
  <c r="BC52"/>
  <c r="BH52"/>
  <c r="BM52"/>
  <c r="BR52"/>
  <c r="BW52"/>
  <c r="CB52"/>
  <c r="CC52"/>
  <c r="CD52"/>
  <c r="CE52"/>
  <c r="CG52" s="1"/>
  <c r="CF52"/>
  <c r="E53"/>
  <c r="J53"/>
  <c r="O53"/>
  <c r="T53"/>
  <c r="Y53"/>
  <c r="AD53"/>
  <c r="AI53"/>
  <c r="AN53"/>
  <c r="AS53"/>
  <c r="AX53"/>
  <c r="BC53"/>
  <c r="BH53"/>
  <c r="BM53"/>
  <c r="BR53"/>
  <c r="BW53"/>
  <c r="CB53"/>
  <c r="CC53"/>
  <c r="CD53"/>
  <c r="CE53"/>
  <c r="CF53"/>
  <c r="CG53"/>
  <c r="E54"/>
  <c r="CG54" s="1"/>
  <c r="J54"/>
  <c r="O54"/>
  <c r="T54"/>
  <c r="Y54"/>
  <c r="AD54"/>
  <c r="AI54"/>
  <c r="AN54"/>
  <c r="AS54"/>
  <c r="AX54"/>
  <c r="BC54"/>
  <c r="BH54"/>
  <c r="BM54"/>
  <c r="BR54"/>
  <c r="BW54"/>
  <c r="CB54"/>
  <c r="CD54"/>
  <c r="CE54"/>
  <c r="CF54"/>
  <c r="CH54"/>
  <c r="E55"/>
  <c r="J55"/>
  <c r="CG55" s="1"/>
  <c r="O55"/>
  <c r="T55"/>
  <c r="Y55"/>
  <c r="AD55"/>
  <c r="AI55"/>
  <c r="AN55"/>
  <c r="AS55"/>
  <c r="AX55"/>
  <c r="BC55"/>
  <c r="BH55"/>
  <c r="BM55"/>
  <c r="BR55"/>
  <c r="BW55"/>
  <c r="CB55"/>
  <c r="CD55"/>
  <c r="CE55"/>
  <c r="CF55"/>
  <c r="CH55"/>
  <c r="E56"/>
  <c r="J56"/>
  <c r="O56"/>
  <c r="T56"/>
  <c r="Y56"/>
  <c r="CG56" s="1"/>
  <c r="AD56"/>
  <c r="AI56"/>
  <c r="AN56"/>
  <c r="AS56"/>
  <c r="AX56"/>
  <c r="BC56"/>
  <c r="BH56"/>
  <c r="BM56"/>
  <c r="BR56"/>
  <c r="BW56"/>
  <c r="CB56"/>
  <c r="CD56"/>
  <c r="CE56"/>
  <c r="CF56"/>
  <c r="CH56"/>
  <c r="E57"/>
  <c r="J57"/>
  <c r="O57"/>
  <c r="T57"/>
  <c r="Y57"/>
  <c r="AD57"/>
  <c r="AI57"/>
  <c r="AN57"/>
  <c r="AS57"/>
  <c r="AX57"/>
  <c r="BC57"/>
  <c r="BH57"/>
  <c r="BM57"/>
  <c r="BR57"/>
  <c r="BW57"/>
  <c r="CB57"/>
  <c r="CD57"/>
  <c r="CE57"/>
  <c r="CF57"/>
  <c r="CH57"/>
  <c r="E58"/>
  <c r="J58"/>
  <c r="O58"/>
  <c r="T58"/>
  <c r="Y58"/>
  <c r="AD58"/>
  <c r="AI58"/>
  <c r="AN58"/>
  <c r="AS58"/>
  <c r="AX58"/>
  <c r="BC58"/>
  <c r="BH58"/>
  <c r="BM58"/>
  <c r="BR58"/>
  <c r="BW58"/>
  <c r="CB58"/>
  <c r="CD58"/>
  <c r="CE58"/>
  <c r="CF58"/>
  <c r="CH58"/>
  <c r="E59"/>
  <c r="J59"/>
  <c r="O59"/>
  <c r="T59"/>
  <c r="Y59"/>
  <c r="AD59"/>
  <c r="AI59"/>
  <c r="AN59"/>
  <c r="AS59"/>
  <c r="AX59"/>
  <c r="BC59"/>
  <c r="BH59"/>
  <c r="BM59"/>
  <c r="BR59"/>
  <c r="BW59"/>
  <c r="CB59"/>
  <c r="CD59"/>
  <c r="CE59"/>
  <c r="CF59"/>
  <c r="CH59"/>
  <c r="B60"/>
  <c r="C60"/>
  <c r="C106"/>
  <c r="D60"/>
  <c r="F60"/>
  <c r="G60"/>
  <c r="H60"/>
  <c r="I60"/>
  <c r="K60"/>
  <c r="L60"/>
  <c r="M60"/>
  <c r="N60"/>
  <c r="P60"/>
  <c r="Q60"/>
  <c r="R60"/>
  <c r="S60"/>
  <c r="U60"/>
  <c r="V60"/>
  <c r="W60"/>
  <c r="X60"/>
  <c r="Z60"/>
  <c r="AA60"/>
  <c r="AB60"/>
  <c r="AC60"/>
  <c r="AE60"/>
  <c r="AF60"/>
  <c r="AG60"/>
  <c r="AH60"/>
  <c r="AJ60"/>
  <c r="AK60"/>
  <c r="AL60"/>
  <c r="AM60"/>
  <c r="AO60"/>
  <c r="AP60"/>
  <c r="AQ60"/>
  <c r="AR60"/>
  <c r="AT60"/>
  <c r="AU60"/>
  <c r="AV60"/>
  <c r="AW60"/>
  <c r="AY60"/>
  <c r="AZ60"/>
  <c r="BA60"/>
  <c r="BB60"/>
  <c r="BD60"/>
  <c r="BE60"/>
  <c r="BF60"/>
  <c r="BG60"/>
  <c r="BI60"/>
  <c r="BJ60"/>
  <c r="BK60"/>
  <c r="BL60"/>
  <c r="BN60"/>
  <c r="BO60"/>
  <c r="BP60"/>
  <c r="BQ60"/>
  <c r="BS60"/>
  <c r="BT60"/>
  <c r="BU60"/>
  <c r="BV60"/>
  <c r="BX60"/>
  <c r="BY60"/>
  <c r="BZ60"/>
  <c r="CA60"/>
  <c r="AH61"/>
  <c r="E63"/>
  <c r="J63"/>
  <c r="O63"/>
  <c r="T63"/>
  <c r="Y63"/>
  <c r="Y77" s="1"/>
  <c r="AD63"/>
  <c r="AI63"/>
  <c r="AN63"/>
  <c r="AS63"/>
  <c r="AS77" s="1"/>
  <c r="AX63"/>
  <c r="BC63"/>
  <c r="BH63"/>
  <c r="BM63"/>
  <c r="BR63"/>
  <c r="BW63"/>
  <c r="CB63"/>
  <c r="CD63"/>
  <c r="CE63"/>
  <c r="CF63"/>
  <c r="CG63"/>
  <c r="E64"/>
  <c r="CG64" s="1"/>
  <c r="J64"/>
  <c r="O64"/>
  <c r="T64"/>
  <c r="Y64"/>
  <c r="AD64"/>
  <c r="AI64"/>
  <c r="AN64"/>
  <c r="AS64"/>
  <c r="AX64"/>
  <c r="BC64"/>
  <c r="BH64"/>
  <c r="BM64"/>
  <c r="BR64"/>
  <c r="BW64"/>
  <c r="CB64"/>
  <c r="CD64"/>
  <c r="CE64"/>
  <c r="CF64"/>
  <c r="CH64"/>
  <c r="E65"/>
  <c r="J65"/>
  <c r="O65"/>
  <c r="T65"/>
  <c r="Y65"/>
  <c r="AD65"/>
  <c r="AI65"/>
  <c r="AN65"/>
  <c r="AS65"/>
  <c r="AX65"/>
  <c r="BC65"/>
  <c r="BH65"/>
  <c r="BM65"/>
  <c r="BR65"/>
  <c r="BW65"/>
  <c r="CB65"/>
  <c r="CD65"/>
  <c r="CE65"/>
  <c r="CF65"/>
  <c r="CH65"/>
  <c r="E66"/>
  <c r="J66"/>
  <c r="O66"/>
  <c r="T66"/>
  <c r="Y66"/>
  <c r="AD66"/>
  <c r="AI66"/>
  <c r="AN66"/>
  <c r="AS66"/>
  <c r="AX66"/>
  <c r="BC66"/>
  <c r="BH66"/>
  <c r="BM66"/>
  <c r="BR66"/>
  <c r="BW66"/>
  <c r="CB66"/>
  <c r="CD66"/>
  <c r="B13" i="2" s="1"/>
  <c r="CE66" i="7"/>
  <c r="CF66"/>
  <c r="CH66"/>
  <c r="F13" i="2" s="1"/>
  <c r="J67" i="7"/>
  <c r="O67"/>
  <c r="T67"/>
  <c r="Y67"/>
  <c r="AD67"/>
  <c r="AD77"/>
  <c r="AI67"/>
  <c r="AN67"/>
  <c r="AS67"/>
  <c r="AX67"/>
  <c r="BC67"/>
  <c r="BH67"/>
  <c r="BM67"/>
  <c r="BM77" s="1"/>
  <c r="BR67"/>
  <c r="BW67"/>
  <c r="CB67"/>
  <c r="CD67"/>
  <c r="CE67"/>
  <c r="C14" i="2" s="1"/>
  <c r="CF67" i="7"/>
  <c r="D14" i="2"/>
  <c r="CH67" i="7"/>
  <c r="F14" i="2" s="1"/>
  <c r="AI68" i="7"/>
  <c r="BR68"/>
  <c r="CD68"/>
  <c r="CE68"/>
  <c r="CF68"/>
  <c r="CG68"/>
  <c r="CH68"/>
  <c r="E69"/>
  <c r="J69"/>
  <c r="O69"/>
  <c r="T69"/>
  <c r="Y69"/>
  <c r="AD69"/>
  <c r="AI69"/>
  <c r="AN69"/>
  <c r="AS69"/>
  <c r="AX69"/>
  <c r="BC69"/>
  <c r="BH69"/>
  <c r="BM69"/>
  <c r="BR69"/>
  <c r="BW69"/>
  <c r="CB69"/>
  <c r="CD69"/>
  <c r="CE69"/>
  <c r="CF69"/>
  <c r="D24" i="2" s="1"/>
  <c r="P24" s="1"/>
  <c r="CH69" i="7"/>
  <c r="CD70"/>
  <c r="CE70"/>
  <c r="CF70"/>
  <c r="CG70"/>
  <c r="CH70"/>
  <c r="E71"/>
  <c r="J71"/>
  <c r="P71"/>
  <c r="P77" s="1"/>
  <c r="Z71"/>
  <c r="AE71"/>
  <c r="AE77"/>
  <c r="AI71"/>
  <c r="AN71"/>
  <c r="AT71"/>
  <c r="AY71"/>
  <c r="AY77"/>
  <c r="BC71"/>
  <c r="BI71"/>
  <c r="BM71"/>
  <c r="BS71"/>
  <c r="BS77" s="1"/>
  <c r="BX71"/>
  <c r="CC71"/>
  <c r="CD71"/>
  <c r="B26" i="2" s="1"/>
  <c r="CE71" i="7"/>
  <c r="C26" i="2"/>
  <c r="CF71" i="7"/>
  <c r="D26" i="2" s="1"/>
  <c r="E72" i="7"/>
  <c r="J72"/>
  <c r="O72"/>
  <c r="T72"/>
  <c r="Y72"/>
  <c r="AD72"/>
  <c r="AI72"/>
  <c r="AN72"/>
  <c r="AS72"/>
  <c r="AX72"/>
  <c r="BC72"/>
  <c r="BH72"/>
  <c r="BM72"/>
  <c r="BR72"/>
  <c r="BW72"/>
  <c r="CB72"/>
  <c r="CD72"/>
  <c r="B27" i="2" s="1"/>
  <c r="N27" s="1"/>
  <c r="CE72" i="7"/>
  <c r="C27" i="2" s="1"/>
  <c r="O27" s="1"/>
  <c r="CF72" i="7"/>
  <c r="D27" i="2"/>
  <c r="P27" s="1"/>
  <c r="CH72" i="7"/>
  <c r="F27" i="2"/>
  <c r="CD73" i="7"/>
  <c r="CE73"/>
  <c r="CF73"/>
  <c r="CG73"/>
  <c r="CH73"/>
  <c r="E74"/>
  <c r="CG74" s="1"/>
  <c r="J74"/>
  <c r="O74"/>
  <c r="T74"/>
  <c r="Y74"/>
  <c r="AD74"/>
  <c r="AI74"/>
  <c r="AN74"/>
  <c r="AS74"/>
  <c r="AX74"/>
  <c r="BC74"/>
  <c r="BH74"/>
  <c r="BM74"/>
  <c r="BR74"/>
  <c r="BW74"/>
  <c r="CB74"/>
  <c r="CD74"/>
  <c r="CE74"/>
  <c r="CF74"/>
  <c r="CH74"/>
  <c r="E75"/>
  <c r="J75"/>
  <c r="O75"/>
  <c r="T75"/>
  <c r="AD75"/>
  <c r="AI75"/>
  <c r="AN75"/>
  <c r="AS75"/>
  <c r="AX75"/>
  <c r="BC75"/>
  <c r="BH75"/>
  <c r="BM75"/>
  <c r="BR75"/>
  <c r="BW75"/>
  <c r="CB75"/>
  <c r="CD75"/>
  <c r="CE75"/>
  <c r="CF75"/>
  <c r="CH75"/>
  <c r="E76"/>
  <c r="J76"/>
  <c r="O76"/>
  <c r="T76"/>
  <c r="Y76"/>
  <c r="AD76"/>
  <c r="AI76"/>
  <c r="AN76"/>
  <c r="AS76"/>
  <c r="AX76"/>
  <c r="BC76"/>
  <c r="BH76"/>
  <c r="BM76"/>
  <c r="BR76"/>
  <c r="BW76"/>
  <c r="CB76"/>
  <c r="CD76"/>
  <c r="CE76"/>
  <c r="C32" i="2" s="1"/>
  <c r="C30" s="1"/>
  <c r="CF76" i="7"/>
  <c r="CH76"/>
  <c r="B77"/>
  <c r="C77"/>
  <c r="D77"/>
  <c r="F77"/>
  <c r="G77"/>
  <c r="H77"/>
  <c r="I77"/>
  <c r="J77"/>
  <c r="K77"/>
  <c r="L77"/>
  <c r="M77"/>
  <c r="N77"/>
  <c r="Q77"/>
  <c r="R77"/>
  <c r="S77"/>
  <c r="S87" s="1"/>
  <c r="S105" s="1"/>
  <c r="V77"/>
  <c r="W77"/>
  <c r="X77"/>
  <c r="AA77"/>
  <c r="AB77"/>
  <c r="AC77"/>
  <c r="AC87"/>
  <c r="AC105" s="1"/>
  <c r="AF77"/>
  <c r="AG77"/>
  <c r="AH77"/>
  <c r="AJ77"/>
  <c r="AK77"/>
  <c r="AL77"/>
  <c r="AM77"/>
  <c r="AO77"/>
  <c r="AP77"/>
  <c r="AQ77"/>
  <c r="AR77"/>
  <c r="AT77"/>
  <c r="AU77"/>
  <c r="AV77"/>
  <c r="AW77"/>
  <c r="AW87" s="1"/>
  <c r="AW105" s="1"/>
  <c r="AZ77"/>
  <c r="BA77"/>
  <c r="BB77"/>
  <c r="BD77"/>
  <c r="BE77"/>
  <c r="BF77"/>
  <c r="BG77"/>
  <c r="BI77"/>
  <c r="BJ77"/>
  <c r="BK77"/>
  <c r="BK87" s="1"/>
  <c r="BK105" s="1"/>
  <c r="BL77"/>
  <c r="BN77"/>
  <c r="BO77"/>
  <c r="BP77"/>
  <c r="BP87" s="1"/>
  <c r="BQ77"/>
  <c r="BR77"/>
  <c r="BT77"/>
  <c r="BU77"/>
  <c r="BV77"/>
  <c r="BX77"/>
  <c r="BY77"/>
  <c r="BZ77"/>
  <c r="CA77"/>
  <c r="CC77"/>
  <c r="J78"/>
  <c r="K78"/>
  <c r="K86" s="1"/>
  <c r="K87" s="1"/>
  <c r="O78"/>
  <c r="P78"/>
  <c r="P86" s="1"/>
  <c r="P87" s="1"/>
  <c r="P105" s="1"/>
  <c r="Y78"/>
  <c r="Z78"/>
  <c r="AD78"/>
  <c r="AE78"/>
  <c r="AI78"/>
  <c r="AJ78"/>
  <c r="AJ86" s="1"/>
  <c r="AJ87" s="1"/>
  <c r="AN78"/>
  <c r="AO78"/>
  <c r="AO86" s="1"/>
  <c r="AO87" s="1"/>
  <c r="AO105"/>
  <c r="AS78"/>
  <c r="AT78"/>
  <c r="AX78"/>
  <c r="AY78"/>
  <c r="AY86" s="1"/>
  <c r="BC78"/>
  <c r="BD78"/>
  <c r="BD86" s="1"/>
  <c r="BD87" s="1"/>
  <c r="BD105" s="1"/>
  <c r="BH78"/>
  <c r="BI78"/>
  <c r="BM78"/>
  <c r="BN78"/>
  <c r="BN86" s="1"/>
  <c r="BR78"/>
  <c r="BS78"/>
  <c r="BW78"/>
  <c r="BX78"/>
  <c r="CB78"/>
  <c r="CD78"/>
  <c r="CE78"/>
  <c r="CF78"/>
  <c r="E79"/>
  <c r="J79"/>
  <c r="K79"/>
  <c r="O79"/>
  <c r="P79"/>
  <c r="T79"/>
  <c r="Y79"/>
  <c r="Z79"/>
  <c r="AD79"/>
  <c r="AE79"/>
  <c r="AI79"/>
  <c r="AJ79"/>
  <c r="AN79"/>
  <c r="AO79"/>
  <c r="AS79"/>
  <c r="AT79"/>
  <c r="AX79"/>
  <c r="AY79"/>
  <c r="BC79"/>
  <c r="BD79"/>
  <c r="BH79"/>
  <c r="BI79"/>
  <c r="BM79"/>
  <c r="BN79"/>
  <c r="BR79"/>
  <c r="BS79"/>
  <c r="BS86" s="1"/>
  <c r="BW79"/>
  <c r="BX79"/>
  <c r="BX86"/>
  <c r="CB79"/>
  <c r="CC79"/>
  <c r="CD79"/>
  <c r="CE79"/>
  <c r="CF79"/>
  <c r="E80"/>
  <c r="J80"/>
  <c r="O80"/>
  <c r="T80"/>
  <c r="Y80"/>
  <c r="AD80"/>
  <c r="AI80"/>
  <c r="AN80"/>
  <c r="AS80"/>
  <c r="AX80"/>
  <c r="BC80"/>
  <c r="BH80"/>
  <c r="BM80"/>
  <c r="BR80"/>
  <c r="BW80"/>
  <c r="CB80"/>
  <c r="CD80"/>
  <c r="CE80"/>
  <c r="CF80"/>
  <c r="CH80"/>
  <c r="E81"/>
  <c r="J81"/>
  <c r="O81"/>
  <c r="T81"/>
  <c r="Y81"/>
  <c r="AD81"/>
  <c r="AI81"/>
  <c r="AN81"/>
  <c r="AS81"/>
  <c r="AX81"/>
  <c r="BC81"/>
  <c r="BH81"/>
  <c r="BM81"/>
  <c r="BR81"/>
  <c r="BW81"/>
  <c r="CB81"/>
  <c r="CD81"/>
  <c r="CD86" s="1"/>
  <c r="CE81"/>
  <c r="CF81"/>
  <c r="CH81"/>
  <c r="E82"/>
  <c r="J82"/>
  <c r="O82"/>
  <c r="T82"/>
  <c r="Y82"/>
  <c r="AD82"/>
  <c r="AI82"/>
  <c r="AN82"/>
  <c r="AS82"/>
  <c r="AX82"/>
  <c r="BC82"/>
  <c r="BH82"/>
  <c r="BM82"/>
  <c r="BR82"/>
  <c r="BW82"/>
  <c r="CD82"/>
  <c r="CE82"/>
  <c r="CF82"/>
  <c r="CH82"/>
  <c r="E83"/>
  <c r="J83"/>
  <c r="O83"/>
  <c r="T83"/>
  <c r="Y83"/>
  <c r="AD83"/>
  <c r="AI83"/>
  <c r="AN83"/>
  <c r="AS83"/>
  <c r="AX83"/>
  <c r="BC83"/>
  <c r="BH83"/>
  <c r="BM83"/>
  <c r="BR83"/>
  <c r="BW83"/>
  <c r="CB83"/>
  <c r="CD83"/>
  <c r="B41" i="2" s="1"/>
  <c r="CE83" i="7"/>
  <c r="C41" i="2"/>
  <c r="CF83" i="7"/>
  <c r="D41" i="2" s="1"/>
  <c r="CH83" i="7"/>
  <c r="F41" i="2"/>
  <c r="E84" i="7"/>
  <c r="J84"/>
  <c r="O84"/>
  <c r="T84"/>
  <c r="Y84"/>
  <c r="AD84"/>
  <c r="AI84"/>
  <c r="AN84"/>
  <c r="AS84"/>
  <c r="AX84"/>
  <c r="BC84"/>
  <c r="BH84"/>
  <c r="BM84"/>
  <c r="BR84"/>
  <c r="BW84"/>
  <c r="CB84"/>
  <c r="CD84"/>
  <c r="CE84"/>
  <c r="CF84"/>
  <c r="CH84"/>
  <c r="J85"/>
  <c r="O85"/>
  <c r="T85"/>
  <c r="Y85"/>
  <c r="AD85"/>
  <c r="AI85"/>
  <c r="AN85"/>
  <c r="AS85"/>
  <c r="AX85"/>
  <c r="BC85"/>
  <c r="BH85"/>
  <c r="BM85"/>
  <c r="BR85"/>
  <c r="BW85"/>
  <c r="CB85"/>
  <c r="CD85"/>
  <c r="CE85"/>
  <c r="CF85"/>
  <c r="CH85"/>
  <c r="B86"/>
  <c r="C86"/>
  <c r="D86"/>
  <c r="F86"/>
  <c r="G86"/>
  <c r="H86"/>
  <c r="H87" s="1"/>
  <c r="I86"/>
  <c r="I87" s="1"/>
  <c r="I105" s="1"/>
  <c r="L86"/>
  <c r="M86"/>
  <c r="M87"/>
  <c r="M105"/>
  <c r="N86"/>
  <c r="Q86"/>
  <c r="R86"/>
  <c r="R87" s="1"/>
  <c r="S86"/>
  <c r="U86"/>
  <c r="U87" s="1"/>
  <c r="V86"/>
  <c r="V87" s="1"/>
  <c r="W86"/>
  <c r="W87" s="1"/>
  <c r="W105" s="1"/>
  <c r="X86"/>
  <c r="AA86"/>
  <c r="AB86"/>
  <c r="AC86"/>
  <c r="AF86"/>
  <c r="AG86"/>
  <c r="AG87"/>
  <c r="AG105" s="1"/>
  <c r="AH86"/>
  <c r="AK86"/>
  <c r="AL86"/>
  <c r="AL87" s="1"/>
  <c r="AL105" s="1"/>
  <c r="AM86"/>
  <c r="AP86"/>
  <c r="AP87" s="1"/>
  <c r="AP105" s="1"/>
  <c r="AQ86"/>
  <c r="AR86"/>
  <c r="AT86"/>
  <c r="AT87" s="1"/>
  <c r="AT105" s="1"/>
  <c r="AU86"/>
  <c r="AU87" s="1"/>
  <c r="AU105" s="1"/>
  <c r="AV86"/>
  <c r="AV87" s="1"/>
  <c r="AV105" s="1"/>
  <c r="AW86"/>
  <c r="AZ86"/>
  <c r="BA86"/>
  <c r="BA87"/>
  <c r="BA105" s="1"/>
  <c r="BB86"/>
  <c r="BB87"/>
  <c r="BE86"/>
  <c r="BE87" s="1"/>
  <c r="BE105" s="1"/>
  <c r="BF86"/>
  <c r="BF87" s="1"/>
  <c r="BF105" s="1"/>
  <c r="BG86"/>
  <c r="BG87" s="1"/>
  <c r="BJ86"/>
  <c r="BK86"/>
  <c r="BL86"/>
  <c r="BO86"/>
  <c r="BP86"/>
  <c r="BQ86"/>
  <c r="BQ87" s="1"/>
  <c r="BQ105" s="1"/>
  <c r="BT86"/>
  <c r="BT87" s="1"/>
  <c r="BU86"/>
  <c r="BV86"/>
  <c r="BY86"/>
  <c r="BY87"/>
  <c r="BY105" s="1"/>
  <c r="BZ86"/>
  <c r="BZ87"/>
  <c r="BZ105"/>
  <c r="BZ106" s="1"/>
  <c r="CA86"/>
  <c r="CC86"/>
  <c r="C87"/>
  <c r="D87"/>
  <c r="G87"/>
  <c r="L87"/>
  <c r="L105"/>
  <c r="Q87"/>
  <c r="Q105" s="1"/>
  <c r="X87"/>
  <c r="X105" s="1"/>
  <c r="AA87"/>
  <c r="AB87"/>
  <c r="AF87"/>
  <c r="AF105" s="1"/>
  <c r="AK87"/>
  <c r="AK105" s="1"/>
  <c r="AQ87"/>
  <c r="AR87"/>
  <c r="AR105" s="1"/>
  <c r="AZ87"/>
  <c r="BL87"/>
  <c r="BO87"/>
  <c r="BO105" s="1"/>
  <c r="BU87"/>
  <c r="CA87"/>
  <c r="CA105" s="1"/>
  <c r="E88"/>
  <c r="J88"/>
  <c r="O88"/>
  <c r="T88"/>
  <c r="Y88"/>
  <c r="AD88"/>
  <c r="AI88"/>
  <c r="AN88"/>
  <c r="AS88"/>
  <c r="AX88"/>
  <c r="BC88"/>
  <c r="BH88"/>
  <c r="BM88"/>
  <c r="BR88"/>
  <c r="BW88"/>
  <c r="CB88"/>
  <c r="CD88"/>
  <c r="CE88"/>
  <c r="CF88"/>
  <c r="E89"/>
  <c r="J89"/>
  <c r="O89"/>
  <c r="T89"/>
  <c r="Y89"/>
  <c r="AD89"/>
  <c r="AI89"/>
  <c r="AN89"/>
  <c r="AN104" s="1"/>
  <c r="AS89"/>
  <c r="AX89"/>
  <c r="BC89"/>
  <c r="BH89"/>
  <c r="BM89"/>
  <c r="BR89"/>
  <c r="BW89"/>
  <c r="CB89"/>
  <c r="CD89"/>
  <c r="CE89"/>
  <c r="CF89"/>
  <c r="CG89" s="1"/>
  <c r="E90"/>
  <c r="J90"/>
  <c r="O90"/>
  <c r="T90"/>
  <c r="Y90"/>
  <c r="AD90"/>
  <c r="AI90"/>
  <c r="AN90"/>
  <c r="AS90"/>
  <c r="AX90"/>
  <c r="BC90"/>
  <c r="BH90"/>
  <c r="BM90"/>
  <c r="BR90"/>
  <c r="BW90"/>
  <c r="CB90"/>
  <c r="CD90"/>
  <c r="CE90"/>
  <c r="CF90"/>
  <c r="E91"/>
  <c r="J91"/>
  <c r="O91"/>
  <c r="T91"/>
  <c r="Y91"/>
  <c r="AD91"/>
  <c r="AI91"/>
  <c r="AN91"/>
  <c r="AS91"/>
  <c r="AX91"/>
  <c r="BC91"/>
  <c r="BH91"/>
  <c r="BM91"/>
  <c r="BR91"/>
  <c r="BW91"/>
  <c r="CB91"/>
  <c r="CD91"/>
  <c r="CE91"/>
  <c r="CF91"/>
  <c r="E92"/>
  <c r="J92"/>
  <c r="O92"/>
  <c r="T92"/>
  <c r="Y92"/>
  <c r="AD92"/>
  <c r="AI92"/>
  <c r="AN92"/>
  <c r="AS92"/>
  <c r="AX92"/>
  <c r="BC92"/>
  <c r="BH92"/>
  <c r="BM92"/>
  <c r="BR92"/>
  <c r="BW92"/>
  <c r="CB92"/>
  <c r="CD92"/>
  <c r="CE92"/>
  <c r="CG92" s="1"/>
  <c r="CF92"/>
  <c r="E93"/>
  <c r="J93"/>
  <c r="O93"/>
  <c r="T93"/>
  <c r="Y93"/>
  <c r="AD93"/>
  <c r="AI93"/>
  <c r="AN93"/>
  <c r="AS93"/>
  <c r="AX93"/>
  <c r="BC93"/>
  <c r="BH93"/>
  <c r="BM93"/>
  <c r="BR93"/>
  <c r="BW93"/>
  <c r="CB93"/>
  <c r="CD93"/>
  <c r="CE93"/>
  <c r="CG93" s="1"/>
  <c r="CF93"/>
  <c r="E94"/>
  <c r="J94"/>
  <c r="O94"/>
  <c r="T94"/>
  <c r="Y94"/>
  <c r="AD94"/>
  <c r="AI94"/>
  <c r="AN94"/>
  <c r="AS94"/>
  <c r="AX94"/>
  <c r="BC94"/>
  <c r="BH94"/>
  <c r="BM94"/>
  <c r="BR94"/>
  <c r="BW94"/>
  <c r="CB94"/>
  <c r="CD94"/>
  <c r="CE94"/>
  <c r="CF94"/>
  <c r="E95"/>
  <c r="J95"/>
  <c r="O95"/>
  <c r="T95"/>
  <c r="Y95"/>
  <c r="AD95"/>
  <c r="AI95"/>
  <c r="AN95"/>
  <c r="AS95"/>
  <c r="AX95"/>
  <c r="BC95"/>
  <c r="BH95"/>
  <c r="BM95"/>
  <c r="BR95"/>
  <c r="BW95"/>
  <c r="CB95"/>
  <c r="CD95"/>
  <c r="CE95"/>
  <c r="CF95"/>
  <c r="J96"/>
  <c r="O96"/>
  <c r="T96"/>
  <c r="Y96"/>
  <c r="AD96"/>
  <c r="AI96"/>
  <c r="AS96"/>
  <c r="AX96"/>
  <c r="BC96"/>
  <c r="BH96"/>
  <c r="BM96"/>
  <c r="BR96"/>
  <c r="BW96"/>
  <c r="CB96"/>
  <c r="CD96"/>
  <c r="CE96"/>
  <c r="CF96"/>
  <c r="CH96"/>
  <c r="J97"/>
  <c r="O97"/>
  <c r="T97"/>
  <c r="Y97"/>
  <c r="AD97"/>
  <c r="AI97"/>
  <c r="AN97"/>
  <c r="AS97"/>
  <c r="AX97"/>
  <c r="BC97"/>
  <c r="BH97"/>
  <c r="BM97"/>
  <c r="BR97"/>
  <c r="BW97"/>
  <c r="CB97"/>
  <c r="CD97"/>
  <c r="CE97"/>
  <c r="CF97"/>
  <c r="CH97"/>
  <c r="E98"/>
  <c r="J98"/>
  <c r="O98"/>
  <c r="T98"/>
  <c r="Y98"/>
  <c r="AD98"/>
  <c r="AI98"/>
  <c r="AN98"/>
  <c r="AS98"/>
  <c r="AX98"/>
  <c r="BC98"/>
  <c r="BH98"/>
  <c r="BM98"/>
  <c r="BR98"/>
  <c r="BW98"/>
  <c r="CB98"/>
  <c r="CD98"/>
  <c r="B58" i="2" s="1"/>
  <c r="CE98" i="7"/>
  <c r="C58" i="2" s="1"/>
  <c r="CF98" i="7"/>
  <c r="CH98"/>
  <c r="CD99"/>
  <c r="CE99"/>
  <c r="CF99"/>
  <c r="CG99"/>
  <c r="CH99"/>
  <c r="CD100"/>
  <c r="CE100"/>
  <c r="CF100"/>
  <c r="CG100"/>
  <c r="CH100"/>
  <c r="E101"/>
  <c r="J101"/>
  <c r="O101"/>
  <c r="Y101"/>
  <c r="AD101"/>
  <c r="AI101"/>
  <c r="AN101"/>
  <c r="AS101"/>
  <c r="AX101"/>
  <c r="BC101"/>
  <c r="BH101"/>
  <c r="BM101"/>
  <c r="BR101"/>
  <c r="BW101"/>
  <c r="CB101"/>
  <c r="CD101"/>
  <c r="CE101"/>
  <c r="CF101"/>
  <c r="CH101"/>
  <c r="CD102"/>
  <c r="CE102"/>
  <c r="CF102"/>
  <c r="CG102"/>
  <c r="E103"/>
  <c r="J103"/>
  <c r="O103"/>
  <c r="T103"/>
  <c r="Y103"/>
  <c r="AD103"/>
  <c r="AI103"/>
  <c r="AN103"/>
  <c r="AS103"/>
  <c r="AX103"/>
  <c r="BC103"/>
  <c r="BH103"/>
  <c r="BM103"/>
  <c r="BR103"/>
  <c r="BW103"/>
  <c r="CB103"/>
  <c r="CD103"/>
  <c r="CE103"/>
  <c r="CH103" s="1"/>
  <c r="CF103"/>
  <c r="CG103"/>
  <c r="B104"/>
  <c r="C104"/>
  <c r="D104"/>
  <c r="F104"/>
  <c r="G104"/>
  <c r="H104"/>
  <c r="I104"/>
  <c r="K104"/>
  <c r="L104"/>
  <c r="M104"/>
  <c r="N104"/>
  <c r="P104"/>
  <c r="Q104"/>
  <c r="R104"/>
  <c r="S104"/>
  <c r="V104"/>
  <c r="W104"/>
  <c r="X104"/>
  <c r="Z104"/>
  <c r="AA104"/>
  <c r="AB104"/>
  <c r="AC104"/>
  <c r="AE104"/>
  <c r="AF104"/>
  <c r="AG104"/>
  <c r="AH104"/>
  <c r="AJ104"/>
  <c r="AK104"/>
  <c r="AL104"/>
  <c r="AM104"/>
  <c r="AO104"/>
  <c r="AP104"/>
  <c r="AQ104"/>
  <c r="AR104"/>
  <c r="AT104"/>
  <c r="AU104"/>
  <c r="AV104"/>
  <c r="AW104"/>
  <c r="AY104"/>
  <c r="AZ104"/>
  <c r="BA104"/>
  <c r="BB104"/>
  <c r="BD104"/>
  <c r="BE104"/>
  <c r="BF104"/>
  <c r="BG104"/>
  <c r="BI104"/>
  <c r="BJ104"/>
  <c r="BK104"/>
  <c r="BL104"/>
  <c r="BN104"/>
  <c r="BO104"/>
  <c r="BP104"/>
  <c r="BQ104"/>
  <c r="BS104"/>
  <c r="BT104"/>
  <c r="BU104"/>
  <c r="BU105" s="1"/>
  <c r="BV104"/>
  <c r="BX104"/>
  <c r="BY104"/>
  <c r="BZ104"/>
  <c r="CA104"/>
  <c r="CC104"/>
  <c r="C105"/>
  <c r="G105"/>
  <c r="AA105"/>
  <c r="AQ105"/>
  <c r="BB105"/>
  <c r="BG105"/>
  <c r="BG106" s="1"/>
  <c r="AL106"/>
  <c r="FJ106"/>
  <c r="E8" i="8"/>
  <c r="J8"/>
  <c r="O8"/>
  <c r="T8"/>
  <c r="Y8"/>
  <c r="AD8"/>
  <c r="AI8"/>
  <c r="AN8"/>
  <c r="AV8"/>
  <c r="BA8"/>
  <c r="BF8"/>
  <c r="BK8"/>
  <c r="BP8"/>
  <c r="BU8"/>
  <c r="BW8"/>
  <c r="BX8"/>
  <c r="BY8"/>
  <c r="BZ8"/>
  <c r="CA8"/>
  <c r="E9"/>
  <c r="J9"/>
  <c r="O9"/>
  <c r="T9"/>
  <c r="Y9"/>
  <c r="AD9"/>
  <c r="AI9"/>
  <c r="AN9"/>
  <c r="AV9"/>
  <c r="BA9"/>
  <c r="BF9"/>
  <c r="BK9"/>
  <c r="BP9"/>
  <c r="BU9"/>
  <c r="BW9"/>
  <c r="BX9"/>
  <c r="BZ9" s="1"/>
  <c r="BY9"/>
  <c r="E10"/>
  <c r="J10"/>
  <c r="O10"/>
  <c r="T10"/>
  <c r="Y10"/>
  <c r="AD10"/>
  <c r="AI10"/>
  <c r="AN10"/>
  <c r="AV10"/>
  <c r="BA10"/>
  <c r="BF10"/>
  <c r="BK10"/>
  <c r="BP10"/>
  <c r="BU10"/>
  <c r="BW10"/>
  <c r="BX10"/>
  <c r="BY10"/>
  <c r="BZ10"/>
  <c r="E11"/>
  <c r="J11"/>
  <c r="O11"/>
  <c r="T11"/>
  <c r="Y11"/>
  <c r="AD11"/>
  <c r="AI11"/>
  <c r="AN11"/>
  <c r="AV11"/>
  <c r="BA11"/>
  <c r="BF11"/>
  <c r="BK11"/>
  <c r="BP11"/>
  <c r="BU11"/>
  <c r="BW11"/>
  <c r="BX11"/>
  <c r="BZ11" s="1"/>
  <c r="BY11"/>
  <c r="E13"/>
  <c r="J13"/>
  <c r="O13"/>
  <c r="T13"/>
  <c r="Y13"/>
  <c r="AD13"/>
  <c r="AI13"/>
  <c r="AN13"/>
  <c r="AV13"/>
  <c r="BA13"/>
  <c r="BF13"/>
  <c r="BK13"/>
  <c r="BP13"/>
  <c r="BU13"/>
  <c r="BW13"/>
  <c r="BX13"/>
  <c r="BY13"/>
  <c r="BZ13"/>
  <c r="E17"/>
  <c r="J17"/>
  <c r="O17"/>
  <c r="T17"/>
  <c r="Y17"/>
  <c r="AD17"/>
  <c r="AI17"/>
  <c r="AN17"/>
  <c r="AV17"/>
  <c r="BA17"/>
  <c r="BF17"/>
  <c r="BK17"/>
  <c r="BP17"/>
  <c r="BU17"/>
  <c r="BW17"/>
  <c r="BX17"/>
  <c r="BY17"/>
  <c r="E18"/>
  <c r="J18"/>
  <c r="O18"/>
  <c r="T18"/>
  <c r="Y18"/>
  <c r="AD18"/>
  <c r="AI18"/>
  <c r="AN18"/>
  <c r="AV18"/>
  <c r="BA18"/>
  <c r="BF18"/>
  <c r="BK18"/>
  <c r="BP18"/>
  <c r="BU18"/>
  <c r="BW18"/>
  <c r="BX18"/>
  <c r="BY18"/>
  <c r="AN19"/>
  <c r="BW19"/>
  <c r="BX19"/>
  <c r="BY19"/>
  <c r="BZ19"/>
  <c r="CA19"/>
  <c r="E20"/>
  <c r="J20"/>
  <c r="O20"/>
  <c r="T20"/>
  <c r="Y20"/>
  <c r="AD20"/>
  <c r="AD35" s="1"/>
  <c r="AI20"/>
  <c r="AN20"/>
  <c r="AV20"/>
  <c r="BA20"/>
  <c r="BF20"/>
  <c r="BK20"/>
  <c r="BP20"/>
  <c r="BW20"/>
  <c r="BX20"/>
  <c r="BY20"/>
  <c r="CA20"/>
  <c r="BW21"/>
  <c r="BX21"/>
  <c r="BY21"/>
  <c r="BZ21"/>
  <c r="CA21"/>
  <c r="BW22"/>
  <c r="BZ22"/>
  <c r="CA22"/>
  <c r="E23"/>
  <c r="AN23"/>
  <c r="BK23"/>
  <c r="BU23"/>
  <c r="BW23"/>
  <c r="BX23"/>
  <c r="BY23"/>
  <c r="CA23"/>
  <c r="E24"/>
  <c r="J24"/>
  <c r="O24"/>
  <c r="T24"/>
  <c r="Y24"/>
  <c r="AD24"/>
  <c r="AI24"/>
  <c r="AN24"/>
  <c r="AN35" s="1"/>
  <c r="AV24"/>
  <c r="BA24"/>
  <c r="BF24"/>
  <c r="BK24"/>
  <c r="BP24"/>
  <c r="BU24"/>
  <c r="BW24"/>
  <c r="BX24"/>
  <c r="BY24"/>
  <c r="CA24"/>
  <c r="BW25"/>
  <c r="BX25"/>
  <c r="BY25"/>
  <c r="BZ25"/>
  <c r="CA25"/>
  <c r="E26"/>
  <c r="J26"/>
  <c r="O26"/>
  <c r="BZ26" s="1"/>
  <c r="T26"/>
  <c r="Y26"/>
  <c r="AD26"/>
  <c r="AI26"/>
  <c r="AN26"/>
  <c r="AV26"/>
  <c r="BA26"/>
  <c r="BF26"/>
  <c r="BK26"/>
  <c r="BP26"/>
  <c r="BU26"/>
  <c r="BW26"/>
  <c r="BX26"/>
  <c r="BY26"/>
  <c r="CA26"/>
  <c r="E27"/>
  <c r="J27"/>
  <c r="O27"/>
  <c r="T27"/>
  <c r="Y27"/>
  <c r="AD27"/>
  <c r="AI27"/>
  <c r="AN27"/>
  <c r="AV27"/>
  <c r="BA27"/>
  <c r="BF27"/>
  <c r="BK27"/>
  <c r="BP27"/>
  <c r="BU27"/>
  <c r="BW27"/>
  <c r="BX27"/>
  <c r="BY27"/>
  <c r="CA27"/>
  <c r="E28"/>
  <c r="J28"/>
  <c r="O28"/>
  <c r="T28"/>
  <c r="Y28"/>
  <c r="AD28"/>
  <c r="AI28"/>
  <c r="AN28"/>
  <c r="AV28"/>
  <c r="BA28"/>
  <c r="BF28"/>
  <c r="BK28"/>
  <c r="BP28"/>
  <c r="BU28"/>
  <c r="BW28"/>
  <c r="BX28"/>
  <c r="BY28"/>
  <c r="CA28"/>
  <c r="E29"/>
  <c r="BZ29" s="1"/>
  <c r="J29"/>
  <c r="O29"/>
  <c r="T29"/>
  <c r="Y29"/>
  <c r="AD29"/>
  <c r="AI29"/>
  <c r="AN29"/>
  <c r="AV29"/>
  <c r="BA29"/>
  <c r="BF29"/>
  <c r="BK29"/>
  <c r="BP29"/>
  <c r="BU29"/>
  <c r="BW29"/>
  <c r="BX29"/>
  <c r="BY29"/>
  <c r="CA29"/>
  <c r="E30"/>
  <c r="J30"/>
  <c r="O30"/>
  <c r="T30"/>
  <c r="U30"/>
  <c r="Y30"/>
  <c r="Z30"/>
  <c r="Z35"/>
  <c r="AD30"/>
  <c r="AI30"/>
  <c r="AJ30"/>
  <c r="AN30"/>
  <c r="AV30"/>
  <c r="AW30"/>
  <c r="BA30"/>
  <c r="BF30"/>
  <c r="BG30"/>
  <c r="BG35" s="1"/>
  <c r="BK30"/>
  <c r="BL30"/>
  <c r="BL35"/>
  <c r="BP30"/>
  <c r="BQ30"/>
  <c r="BU30"/>
  <c r="BV30"/>
  <c r="BV35" s="1"/>
  <c r="BW30"/>
  <c r="BX30"/>
  <c r="BY30"/>
  <c r="E31"/>
  <c r="J31"/>
  <c r="O31"/>
  <c r="T31"/>
  <c r="Y31"/>
  <c r="AD31"/>
  <c r="AI31"/>
  <c r="AN31"/>
  <c r="AV31"/>
  <c r="BA31"/>
  <c r="BF31"/>
  <c r="BK31"/>
  <c r="BP31"/>
  <c r="BU31"/>
  <c r="BW31"/>
  <c r="BX31"/>
  <c r="BY31"/>
  <c r="CA31"/>
  <c r="E32"/>
  <c r="J32"/>
  <c r="O32"/>
  <c r="T32"/>
  <c r="Y32"/>
  <c r="AD32"/>
  <c r="AI32"/>
  <c r="AN32"/>
  <c r="AV32"/>
  <c r="BA32"/>
  <c r="BF32"/>
  <c r="BK32"/>
  <c r="BP32"/>
  <c r="BU32"/>
  <c r="BW32"/>
  <c r="BX32"/>
  <c r="BY32"/>
  <c r="CA32"/>
  <c r="E33"/>
  <c r="J33"/>
  <c r="O33"/>
  <c r="T33"/>
  <c r="Y33"/>
  <c r="AD33"/>
  <c r="AI33"/>
  <c r="AN33"/>
  <c r="AV33"/>
  <c r="BA33"/>
  <c r="BF33"/>
  <c r="BK33"/>
  <c r="BP33"/>
  <c r="BU33"/>
  <c r="BW33"/>
  <c r="BW35" s="1"/>
  <c r="BX33"/>
  <c r="BY33"/>
  <c r="CA33"/>
  <c r="BW34"/>
  <c r="BZ34"/>
  <c r="CA34"/>
  <c r="B35"/>
  <c r="C35"/>
  <c r="C46" s="1"/>
  <c r="C61" s="1"/>
  <c r="D35"/>
  <c r="F35"/>
  <c r="F46" s="1"/>
  <c r="F61" s="1"/>
  <c r="G35"/>
  <c r="H35"/>
  <c r="I35"/>
  <c r="K35"/>
  <c r="K46" s="1"/>
  <c r="K61" s="1"/>
  <c r="L35"/>
  <c r="M35"/>
  <c r="N35"/>
  <c r="P35"/>
  <c r="Q35"/>
  <c r="R35"/>
  <c r="S35"/>
  <c r="V35"/>
  <c r="W35"/>
  <c r="X35"/>
  <c r="X46"/>
  <c r="AA35"/>
  <c r="AB35"/>
  <c r="AB46"/>
  <c r="AB61"/>
  <c r="AB106" s="1"/>
  <c r="AC35"/>
  <c r="AE35"/>
  <c r="AF35"/>
  <c r="AG35"/>
  <c r="AH35"/>
  <c r="AJ35"/>
  <c r="AJ46"/>
  <c r="AJ61" s="1"/>
  <c r="AK35"/>
  <c r="AL35"/>
  <c r="AM35"/>
  <c r="AO35"/>
  <c r="AO46"/>
  <c r="AR35"/>
  <c r="AS35"/>
  <c r="AT35"/>
  <c r="AT46"/>
  <c r="AT61"/>
  <c r="AU35"/>
  <c r="AW35"/>
  <c r="AX35"/>
  <c r="AX46"/>
  <c r="AX61"/>
  <c r="AY35"/>
  <c r="AZ35"/>
  <c r="BB35"/>
  <c r="BC35"/>
  <c r="BD35"/>
  <c r="BD46" s="1"/>
  <c r="BE35"/>
  <c r="BH35"/>
  <c r="BI35"/>
  <c r="BJ35"/>
  <c r="BJ46"/>
  <c r="BM35"/>
  <c r="BN35"/>
  <c r="BN46"/>
  <c r="BN61" s="1"/>
  <c r="BO35"/>
  <c r="BQ35"/>
  <c r="BQ46" s="1"/>
  <c r="BQ61" s="1"/>
  <c r="BR35"/>
  <c r="BS35"/>
  <c r="BT35"/>
  <c r="E37"/>
  <c r="J37"/>
  <c r="Y37"/>
  <c r="AN37"/>
  <c r="AV37"/>
  <c r="BF37"/>
  <c r="BK37"/>
  <c r="BU37"/>
  <c r="BW37"/>
  <c r="BX37"/>
  <c r="BY37"/>
  <c r="CA37"/>
  <c r="E38"/>
  <c r="J38"/>
  <c r="O38"/>
  <c r="T38"/>
  <c r="Y38"/>
  <c r="AI38"/>
  <c r="AN38"/>
  <c r="AV38"/>
  <c r="BA38"/>
  <c r="BK38"/>
  <c r="BP38"/>
  <c r="BW38"/>
  <c r="BX38"/>
  <c r="BY38"/>
  <c r="CA38"/>
  <c r="E39"/>
  <c r="J39"/>
  <c r="O39"/>
  <c r="T39"/>
  <c r="Y39"/>
  <c r="AD39"/>
  <c r="AI39"/>
  <c r="AN39"/>
  <c r="AV39"/>
  <c r="BA39"/>
  <c r="BF39"/>
  <c r="BK39"/>
  <c r="BP39"/>
  <c r="BU39"/>
  <c r="BW39"/>
  <c r="BX39"/>
  <c r="BY39"/>
  <c r="BZ39"/>
  <c r="CA39"/>
  <c r="E40"/>
  <c r="J40"/>
  <c r="O40"/>
  <c r="T40"/>
  <c r="Y40"/>
  <c r="AD40"/>
  <c r="AI40"/>
  <c r="AI45" s="1"/>
  <c r="AN40"/>
  <c r="AV40"/>
  <c r="BA40"/>
  <c r="BF40"/>
  <c r="BF45" s="1"/>
  <c r="BK40"/>
  <c r="BP40"/>
  <c r="BU40"/>
  <c r="BW40"/>
  <c r="BX40"/>
  <c r="BY40"/>
  <c r="CA40"/>
  <c r="E41"/>
  <c r="J41"/>
  <c r="O41"/>
  <c r="T41"/>
  <c r="Y41"/>
  <c r="AD41"/>
  <c r="AI41"/>
  <c r="AN41"/>
  <c r="AV41"/>
  <c r="BA41"/>
  <c r="BF41"/>
  <c r="BK41"/>
  <c r="BP41"/>
  <c r="BU41"/>
  <c r="BW41"/>
  <c r="BX41"/>
  <c r="BY41"/>
  <c r="CA41"/>
  <c r="E42"/>
  <c r="J42"/>
  <c r="O42"/>
  <c r="T42"/>
  <c r="Y42"/>
  <c r="AD42"/>
  <c r="AI42"/>
  <c r="AN42"/>
  <c r="AV42"/>
  <c r="BA42"/>
  <c r="BF42"/>
  <c r="BK42"/>
  <c r="BP42"/>
  <c r="BU42"/>
  <c r="BW42"/>
  <c r="BX42"/>
  <c r="BY42"/>
  <c r="CA42"/>
  <c r="BW43"/>
  <c r="BX43"/>
  <c r="BY43"/>
  <c r="BZ43"/>
  <c r="CA43"/>
  <c r="BW44"/>
  <c r="BX44"/>
  <c r="BY44"/>
  <c r="BZ44" s="1"/>
  <c r="B45"/>
  <c r="C45"/>
  <c r="D45"/>
  <c r="D46" s="1"/>
  <c r="F45"/>
  <c r="G45"/>
  <c r="H45"/>
  <c r="H46" s="1"/>
  <c r="H61" s="1"/>
  <c r="I45"/>
  <c r="I46" s="1"/>
  <c r="K45"/>
  <c r="L45"/>
  <c r="L46" s="1"/>
  <c r="M45"/>
  <c r="M46" s="1"/>
  <c r="N45"/>
  <c r="N46" s="1"/>
  <c r="P45"/>
  <c r="P46" s="1"/>
  <c r="P61" s="1"/>
  <c r="Q45"/>
  <c r="Q46" s="1"/>
  <c r="R45"/>
  <c r="R46" s="1"/>
  <c r="S45"/>
  <c r="U45"/>
  <c r="V45"/>
  <c r="W45"/>
  <c r="W46" s="1"/>
  <c r="W61" s="1"/>
  <c r="X45"/>
  <c r="Z45"/>
  <c r="AA45"/>
  <c r="AA46"/>
  <c r="AA61" s="1"/>
  <c r="AB45"/>
  <c r="AC45"/>
  <c r="AC46" s="1"/>
  <c r="AE45"/>
  <c r="AE46"/>
  <c r="AE61" s="1"/>
  <c r="AF45"/>
  <c r="AF46" s="1"/>
  <c r="AG45"/>
  <c r="AH45"/>
  <c r="AH46" s="1"/>
  <c r="AJ45"/>
  <c r="AK45"/>
  <c r="AK46" s="1"/>
  <c r="AL45"/>
  <c r="AM45"/>
  <c r="AO45"/>
  <c r="AR45"/>
  <c r="AR46" s="1"/>
  <c r="AR61" s="1"/>
  <c r="AS45"/>
  <c r="AS46" s="1"/>
  <c r="AT45"/>
  <c r="AU45"/>
  <c r="AU46" s="1"/>
  <c r="AW45"/>
  <c r="AX45"/>
  <c r="AY45"/>
  <c r="AY46" s="1"/>
  <c r="AY61" s="1"/>
  <c r="AY106" s="1"/>
  <c r="AZ45"/>
  <c r="BB45"/>
  <c r="BB46" s="1"/>
  <c r="BC45"/>
  <c r="BC46" s="1"/>
  <c r="BC61" s="1"/>
  <c r="BD45"/>
  <c r="BE45"/>
  <c r="BG45"/>
  <c r="BG46" s="1"/>
  <c r="BH45"/>
  <c r="BI45"/>
  <c r="BJ45"/>
  <c r="BL45"/>
  <c r="BL46"/>
  <c r="BL61" s="1"/>
  <c r="BM45"/>
  <c r="BN45"/>
  <c r="BO45"/>
  <c r="BO46" s="1"/>
  <c r="BP45"/>
  <c r="BQ45"/>
  <c r="BR45"/>
  <c r="BR46" s="1"/>
  <c r="BR61" s="1"/>
  <c r="BS45"/>
  <c r="BS46" s="1"/>
  <c r="BT45"/>
  <c r="BT46"/>
  <c r="BT61" s="1"/>
  <c r="BV45"/>
  <c r="BV46" s="1"/>
  <c r="BV61" s="1"/>
  <c r="B46"/>
  <c r="B61"/>
  <c r="G46"/>
  <c r="G61" s="1"/>
  <c r="S46"/>
  <c r="Z46"/>
  <c r="AL46"/>
  <c r="AL61" s="1"/>
  <c r="AM46"/>
  <c r="AW46"/>
  <c r="AZ46"/>
  <c r="BE46"/>
  <c r="BH46"/>
  <c r="BH61" s="1"/>
  <c r="BI46"/>
  <c r="BM46"/>
  <c r="BW47"/>
  <c r="BX47"/>
  <c r="BY47"/>
  <c r="BW48"/>
  <c r="BX48"/>
  <c r="BZ48" s="1"/>
  <c r="BY48"/>
  <c r="BW49"/>
  <c r="BX49"/>
  <c r="BZ49" s="1"/>
  <c r="BY49"/>
  <c r="BW50"/>
  <c r="BX50"/>
  <c r="BZ50" s="1"/>
  <c r="BY50"/>
  <c r="BW51"/>
  <c r="BX51"/>
  <c r="BZ51" s="1"/>
  <c r="BY51"/>
  <c r="BW52"/>
  <c r="BX52"/>
  <c r="BZ52" s="1"/>
  <c r="BY52"/>
  <c r="BW53"/>
  <c r="BX53"/>
  <c r="BZ53" s="1"/>
  <c r="BY53"/>
  <c r="BW54"/>
  <c r="BX54"/>
  <c r="BZ54" s="1"/>
  <c r="BY54"/>
  <c r="E55"/>
  <c r="J55"/>
  <c r="J60" s="1"/>
  <c r="O55"/>
  <c r="T55"/>
  <c r="T60" s="1"/>
  <c r="Y55"/>
  <c r="AD55"/>
  <c r="AI55"/>
  <c r="AN55"/>
  <c r="AN60" s="1"/>
  <c r="AV55"/>
  <c r="AV60" s="1"/>
  <c r="BA55"/>
  <c r="BF55"/>
  <c r="BK55"/>
  <c r="BK60" s="1"/>
  <c r="BP55"/>
  <c r="BU55"/>
  <c r="BW55"/>
  <c r="BX55"/>
  <c r="BY55"/>
  <c r="CA55"/>
  <c r="E56"/>
  <c r="J56"/>
  <c r="O56"/>
  <c r="T56"/>
  <c r="Y56"/>
  <c r="AD56"/>
  <c r="AI56"/>
  <c r="AN56"/>
  <c r="AV56"/>
  <c r="BA56"/>
  <c r="BF56"/>
  <c r="BK56"/>
  <c r="BP56"/>
  <c r="BU56"/>
  <c r="BW56"/>
  <c r="BX56"/>
  <c r="BY56"/>
  <c r="CA56"/>
  <c r="E57"/>
  <c r="J57"/>
  <c r="O57"/>
  <c r="T57"/>
  <c r="Y57"/>
  <c r="AD57"/>
  <c r="AD60" s="1"/>
  <c r="AI57"/>
  <c r="AN57"/>
  <c r="AV57"/>
  <c r="BA57"/>
  <c r="BF57"/>
  <c r="BK57"/>
  <c r="BP57"/>
  <c r="BU57"/>
  <c r="BW57"/>
  <c r="BX57"/>
  <c r="BY57"/>
  <c r="BY60" s="1"/>
  <c r="CA57"/>
  <c r="E58"/>
  <c r="J58"/>
  <c r="O58"/>
  <c r="T58"/>
  <c r="Y58"/>
  <c r="AD58"/>
  <c r="AI58"/>
  <c r="AN58"/>
  <c r="AV58"/>
  <c r="BA58"/>
  <c r="BF58"/>
  <c r="BF60" s="1"/>
  <c r="BK58"/>
  <c r="BP58"/>
  <c r="BU58"/>
  <c r="BU60" s="1"/>
  <c r="BW58"/>
  <c r="BX58"/>
  <c r="BY58"/>
  <c r="CA58"/>
  <c r="BW59"/>
  <c r="BX59"/>
  <c r="BY59"/>
  <c r="BZ59"/>
  <c r="CA59"/>
  <c r="CA60" s="1"/>
  <c r="B60"/>
  <c r="C60"/>
  <c r="D60"/>
  <c r="E60"/>
  <c r="F60"/>
  <c r="G60"/>
  <c r="H60"/>
  <c r="I60"/>
  <c r="K60"/>
  <c r="L60"/>
  <c r="M60"/>
  <c r="N60"/>
  <c r="P60"/>
  <c r="Q60"/>
  <c r="R60"/>
  <c r="S60"/>
  <c r="S61" s="1"/>
  <c r="U60"/>
  <c r="V60"/>
  <c r="W60"/>
  <c r="X60"/>
  <c r="X61" s="1"/>
  <c r="X106" s="1"/>
  <c r="Z60"/>
  <c r="AA60"/>
  <c r="AB60"/>
  <c r="AC60"/>
  <c r="AE60"/>
  <c r="AF60"/>
  <c r="AG60"/>
  <c r="AH60"/>
  <c r="AJ60"/>
  <c r="AK60"/>
  <c r="AL60"/>
  <c r="AM60"/>
  <c r="AM61" s="1"/>
  <c r="AM106" s="1"/>
  <c r="AO60"/>
  <c r="AS60"/>
  <c r="AS61" s="1"/>
  <c r="AT60"/>
  <c r="AU60"/>
  <c r="AU61" s="1"/>
  <c r="AW60"/>
  <c r="AW61" s="1"/>
  <c r="AX60"/>
  <c r="AY60"/>
  <c r="AZ60"/>
  <c r="BB60"/>
  <c r="BB61" s="1"/>
  <c r="BB106" s="1"/>
  <c r="BC60"/>
  <c r="BD60"/>
  <c r="BE60"/>
  <c r="BE61" s="1"/>
  <c r="BG60"/>
  <c r="BG61" s="1"/>
  <c r="BG106" s="1"/>
  <c r="BH60"/>
  <c r="BI60"/>
  <c r="BI61"/>
  <c r="BJ60"/>
  <c r="BL60"/>
  <c r="BM60"/>
  <c r="BM61" s="1"/>
  <c r="BN60"/>
  <c r="BO60"/>
  <c r="BQ60"/>
  <c r="BR60"/>
  <c r="BS60"/>
  <c r="BT60"/>
  <c r="BV60"/>
  <c r="Z61"/>
  <c r="F62"/>
  <c r="BW62"/>
  <c r="BX62"/>
  <c r="BY62"/>
  <c r="BZ62"/>
  <c r="E63"/>
  <c r="F63"/>
  <c r="J63"/>
  <c r="K63"/>
  <c r="K77"/>
  <c r="O63"/>
  <c r="P63"/>
  <c r="T63"/>
  <c r="U63"/>
  <c r="U77"/>
  <c r="Y63"/>
  <c r="Z63"/>
  <c r="Z77" s="1"/>
  <c r="AD63"/>
  <c r="AE63"/>
  <c r="AE77"/>
  <c r="AI63"/>
  <c r="AJ63"/>
  <c r="AN63"/>
  <c r="AO63"/>
  <c r="AO77" s="1"/>
  <c r="AO87" s="1"/>
  <c r="AV63"/>
  <c r="AW63"/>
  <c r="AW77"/>
  <c r="BA63"/>
  <c r="BB63"/>
  <c r="BB77"/>
  <c r="BF63"/>
  <c r="BG63"/>
  <c r="BK63"/>
  <c r="BL63"/>
  <c r="BP63"/>
  <c r="BQ63"/>
  <c r="BQ77"/>
  <c r="BU63"/>
  <c r="BV63"/>
  <c r="BV77" s="1"/>
  <c r="BV87" s="1"/>
  <c r="BW63"/>
  <c r="BX63"/>
  <c r="BY63"/>
  <c r="E64"/>
  <c r="J64"/>
  <c r="J77"/>
  <c r="O64"/>
  <c r="T64"/>
  <c r="Y64"/>
  <c r="AD64"/>
  <c r="AD77" s="1"/>
  <c r="AI64"/>
  <c r="AN64"/>
  <c r="AV64"/>
  <c r="BA64"/>
  <c r="BF64"/>
  <c r="BK64"/>
  <c r="BP64"/>
  <c r="BU64"/>
  <c r="BW64"/>
  <c r="BX64"/>
  <c r="BY64"/>
  <c r="CA64"/>
  <c r="E65"/>
  <c r="J65"/>
  <c r="O65"/>
  <c r="T65"/>
  <c r="Y65"/>
  <c r="AD65"/>
  <c r="AI65"/>
  <c r="AN65"/>
  <c r="AV65"/>
  <c r="BA65"/>
  <c r="BF65"/>
  <c r="BK65"/>
  <c r="BP65"/>
  <c r="BU65"/>
  <c r="BW65"/>
  <c r="BX65"/>
  <c r="BY65"/>
  <c r="CA65"/>
  <c r="E66"/>
  <c r="J66"/>
  <c r="O66"/>
  <c r="T66"/>
  <c r="Y66"/>
  <c r="AD66"/>
  <c r="AI66"/>
  <c r="AN66"/>
  <c r="AV66"/>
  <c r="BA66"/>
  <c r="BF66"/>
  <c r="BK66"/>
  <c r="BP66"/>
  <c r="BU66"/>
  <c r="BW66"/>
  <c r="BX66"/>
  <c r="BY66"/>
  <c r="CA66"/>
  <c r="E67"/>
  <c r="J67"/>
  <c r="O67"/>
  <c r="T67"/>
  <c r="Y67"/>
  <c r="AD67"/>
  <c r="AI67"/>
  <c r="AN67"/>
  <c r="AV67"/>
  <c r="BA67"/>
  <c r="BF67"/>
  <c r="BK67"/>
  <c r="BP67"/>
  <c r="BU67"/>
  <c r="BW67"/>
  <c r="BX67"/>
  <c r="BY67"/>
  <c r="BZ67"/>
  <c r="CA67"/>
  <c r="J68"/>
  <c r="O68"/>
  <c r="T68"/>
  <c r="Y68"/>
  <c r="AD68"/>
  <c r="AI68"/>
  <c r="AN68"/>
  <c r="AV68"/>
  <c r="BA68"/>
  <c r="BF68"/>
  <c r="BK68"/>
  <c r="BP68"/>
  <c r="BU68"/>
  <c r="BW68"/>
  <c r="BX68"/>
  <c r="BY68"/>
  <c r="CA68"/>
  <c r="E69"/>
  <c r="J69"/>
  <c r="O69"/>
  <c r="T69"/>
  <c r="Y69"/>
  <c r="AD69"/>
  <c r="AI69"/>
  <c r="AN69"/>
  <c r="AV69"/>
  <c r="BA69"/>
  <c r="BF69"/>
  <c r="BK69"/>
  <c r="BP69"/>
  <c r="BU69"/>
  <c r="BW69"/>
  <c r="BX69"/>
  <c r="BY69"/>
  <c r="CA69"/>
  <c r="BW70"/>
  <c r="BZ70"/>
  <c r="CA70"/>
  <c r="E71"/>
  <c r="T71"/>
  <c r="AN71"/>
  <c r="BK71"/>
  <c r="BU71"/>
  <c r="BW71"/>
  <c r="BX71"/>
  <c r="BY71"/>
  <c r="CA71"/>
  <c r="E72"/>
  <c r="J72"/>
  <c r="O72"/>
  <c r="T72"/>
  <c r="Y72"/>
  <c r="AD72"/>
  <c r="AI72"/>
  <c r="AN72"/>
  <c r="AV72"/>
  <c r="BA72"/>
  <c r="BF72"/>
  <c r="BK72"/>
  <c r="BP72"/>
  <c r="BU72"/>
  <c r="BW72"/>
  <c r="BX72"/>
  <c r="BY72"/>
  <c r="CA72"/>
  <c r="BW73"/>
  <c r="BX73"/>
  <c r="BY73"/>
  <c r="BZ73"/>
  <c r="CA73"/>
  <c r="E74"/>
  <c r="J74"/>
  <c r="O74"/>
  <c r="T74"/>
  <c r="Y74"/>
  <c r="AD74"/>
  <c r="AI74"/>
  <c r="AN74"/>
  <c r="AV74"/>
  <c r="BA74"/>
  <c r="BF74"/>
  <c r="BK74"/>
  <c r="BP74"/>
  <c r="BU74"/>
  <c r="BW74"/>
  <c r="BX74"/>
  <c r="BY74"/>
  <c r="CA74"/>
  <c r="E75"/>
  <c r="J75"/>
  <c r="O75"/>
  <c r="T75"/>
  <c r="Y75"/>
  <c r="AD75"/>
  <c r="AI75"/>
  <c r="AN75"/>
  <c r="AV75"/>
  <c r="BA75"/>
  <c r="BF75"/>
  <c r="BK75"/>
  <c r="BP75"/>
  <c r="BU75"/>
  <c r="BW75"/>
  <c r="BX75"/>
  <c r="BY75"/>
  <c r="CA75"/>
  <c r="J76"/>
  <c r="O76"/>
  <c r="T76"/>
  <c r="Y76"/>
  <c r="AD76"/>
  <c r="AI76"/>
  <c r="AN76"/>
  <c r="AV76"/>
  <c r="BA76"/>
  <c r="BF76"/>
  <c r="BK76"/>
  <c r="BP76"/>
  <c r="BU76"/>
  <c r="BW76"/>
  <c r="BX76"/>
  <c r="BY76"/>
  <c r="CA76"/>
  <c r="B77"/>
  <c r="C77"/>
  <c r="D77"/>
  <c r="G77"/>
  <c r="H77"/>
  <c r="I77"/>
  <c r="L77"/>
  <c r="M77"/>
  <c r="M87"/>
  <c r="M105" s="1"/>
  <c r="N77"/>
  <c r="N105"/>
  <c r="P77"/>
  <c r="Q77"/>
  <c r="R77"/>
  <c r="S77"/>
  <c r="S87" s="1"/>
  <c r="V77"/>
  <c r="W77"/>
  <c r="X77"/>
  <c r="AA77"/>
  <c r="AB77"/>
  <c r="AC77"/>
  <c r="AF77"/>
  <c r="AG77"/>
  <c r="AG87"/>
  <c r="AG105" s="1"/>
  <c r="AH77"/>
  <c r="AJ77"/>
  <c r="AK77"/>
  <c r="AK87"/>
  <c r="AK105"/>
  <c r="AL77"/>
  <c r="AM77"/>
  <c r="AM87" s="1"/>
  <c r="AM105" s="1"/>
  <c r="AR77"/>
  <c r="AS77"/>
  <c r="AT77"/>
  <c r="AU77"/>
  <c r="AX77"/>
  <c r="AY77"/>
  <c r="AZ77"/>
  <c r="BC77"/>
  <c r="BC87"/>
  <c r="BC105" s="1"/>
  <c r="BC106" s="1"/>
  <c r="BD77"/>
  <c r="BD87"/>
  <c r="BE77"/>
  <c r="BG77"/>
  <c r="BG87"/>
  <c r="BG105" s="1"/>
  <c r="BH77"/>
  <c r="BH105"/>
  <c r="BI77"/>
  <c r="BJ77"/>
  <c r="BL77"/>
  <c r="BL87"/>
  <c r="BL105" s="1"/>
  <c r="BL106" s="1"/>
  <c r="BM77"/>
  <c r="BN77"/>
  <c r="BO77"/>
  <c r="BR77"/>
  <c r="BS77"/>
  <c r="BT77"/>
  <c r="BT87"/>
  <c r="BT105" s="1"/>
  <c r="BT106" s="1"/>
  <c r="BW78"/>
  <c r="BX78"/>
  <c r="BZ78" s="1"/>
  <c r="BY78"/>
  <c r="BW79"/>
  <c r="BX79"/>
  <c r="BZ79" s="1"/>
  <c r="BY79"/>
  <c r="E80"/>
  <c r="J80"/>
  <c r="O80"/>
  <c r="O86" s="1"/>
  <c r="T80"/>
  <c r="Y80"/>
  <c r="AD80"/>
  <c r="AI80"/>
  <c r="AI86" s="1"/>
  <c r="AN80"/>
  <c r="AV80"/>
  <c r="BA80"/>
  <c r="BF80"/>
  <c r="BF86" s="1"/>
  <c r="BK80"/>
  <c r="BP80"/>
  <c r="BU80"/>
  <c r="BW80"/>
  <c r="BX80"/>
  <c r="BY80"/>
  <c r="CA80"/>
  <c r="E81"/>
  <c r="J81"/>
  <c r="O81"/>
  <c r="T81"/>
  <c r="T86" s="1"/>
  <c r="Y81"/>
  <c r="AD81"/>
  <c r="AI81"/>
  <c r="AN81"/>
  <c r="AN86" s="1"/>
  <c r="AV81"/>
  <c r="BA81"/>
  <c r="BF81"/>
  <c r="BK81"/>
  <c r="BP81"/>
  <c r="BU81"/>
  <c r="BW81"/>
  <c r="BX81"/>
  <c r="BY81"/>
  <c r="CA81"/>
  <c r="E82"/>
  <c r="J82"/>
  <c r="O82"/>
  <c r="T82"/>
  <c r="Y82"/>
  <c r="AD82"/>
  <c r="AI82"/>
  <c r="AN82"/>
  <c r="AV82"/>
  <c r="BA82"/>
  <c r="BF82"/>
  <c r="BK82"/>
  <c r="BP82"/>
  <c r="BU82"/>
  <c r="BW82"/>
  <c r="BX82"/>
  <c r="BY82"/>
  <c r="BZ82"/>
  <c r="CA82"/>
  <c r="E83"/>
  <c r="J83"/>
  <c r="O83"/>
  <c r="T83"/>
  <c r="Y83"/>
  <c r="AD83"/>
  <c r="AI83"/>
  <c r="AN83"/>
  <c r="AV83"/>
  <c r="BA83"/>
  <c r="BF83"/>
  <c r="BK83"/>
  <c r="BP83"/>
  <c r="BU83"/>
  <c r="BW83"/>
  <c r="BX83"/>
  <c r="BY83"/>
  <c r="CA83"/>
  <c r="E84"/>
  <c r="J84"/>
  <c r="O84"/>
  <c r="T84"/>
  <c r="Y84"/>
  <c r="AD84"/>
  <c r="AI84"/>
  <c r="AN84"/>
  <c r="AV84"/>
  <c r="BA84"/>
  <c r="BF84"/>
  <c r="BK84"/>
  <c r="BP84"/>
  <c r="BU84"/>
  <c r="BW84"/>
  <c r="BX84"/>
  <c r="BY84"/>
  <c r="CA84"/>
  <c r="E85"/>
  <c r="J85"/>
  <c r="O85"/>
  <c r="T85"/>
  <c r="Y85"/>
  <c r="AD85"/>
  <c r="AI85"/>
  <c r="AN85"/>
  <c r="AV85"/>
  <c r="BA85"/>
  <c r="BF85"/>
  <c r="BK85"/>
  <c r="BP85"/>
  <c r="BU85"/>
  <c r="BU86"/>
  <c r="BW85"/>
  <c r="BX85"/>
  <c r="BY85"/>
  <c r="BZ85"/>
  <c r="CA85"/>
  <c r="B86"/>
  <c r="C86"/>
  <c r="D86"/>
  <c r="D87" s="1"/>
  <c r="F86"/>
  <c r="G86"/>
  <c r="H86"/>
  <c r="H87" s="1"/>
  <c r="I86"/>
  <c r="I87" s="1"/>
  <c r="I105" s="1"/>
  <c r="K86"/>
  <c r="L86"/>
  <c r="M86"/>
  <c r="N86"/>
  <c r="N87" s="1"/>
  <c r="P86"/>
  <c r="P87" s="1"/>
  <c r="Q86"/>
  <c r="Q87" s="1"/>
  <c r="Q105" s="1"/>
  <c r="R86"/>
  <c r="R87" s="1"/>
  <c r="R105" s="1"/>
  <c r="S86"/>
  <c r="U86"/>
  <c r="U87" s="1"/>
  <c r="U105" s="1"/>
  <c r="V86"/>
  <c r="V87" s="1"/>
  <c r="V105" s="1"/>
  <c r="W86"/>
  <c r="W87" s="1"/>
  <c r="W105" s="1"/>
  <c r="X86"/>
  <c r="Z86"/>
  <c r="Z87" s="1"/>
  <c r="Z105" s="1"/>
  <c r="Z106" s="1"/>
  <c r="AA86"/>
  <c r="AB86"/>
  <c r="AB87"/>
  <c r="AC86"/>
  <c r="AC87" s="1"/>
  <c r="AC105" s="1"/>
  <c r="AE86"/>
  <c r="AE87"/>
  <c r="AF86"/>
  <c r="AF87"/>
  <c r="AF105" s="1"/>
  <c r="AG86"/>
  <c r="AH86"/>
  <c r="AH87" s="1"/>
  <c r="AH105" s="1"/>
  <c r="AJ86"/>
  <c r="AK86"/>
  <c r="AL86"/>
  <c r="AL87" s="1"/>
  <c r="AL105" s="1"/>
  <c r="AM86"/>
  <c r="AO86"/>
  <c r="AR86"/>
  <c r="AR87" s="1"/>
  <c r="AR105" s="1"/>
  <c r="AS86"/>
  <c r="AS87" s="1"/>
  <c r="AS105" s="1"/>
  <c r="AS106" s="1"/>
  <c r="AT86"/>
  <c r="AT87" s="1"/>
  <c r="AT105" s="1"/>
  <c r="AU86"/>
  <c r="AU87" s="1"/>
  <c r="AU105" s="1"/>
  <c r="AW86"/>
  <c r="AW87" s="1"/>
  <c r="AW105" s="1"/>
  <c r="AX86"/>
  <c r="AY86"/>
  <c r="AY87" s="1"/>
  <c r="AY105" s="1"/>
  <c r="AZ86"/>
  <c r="AZ87" s="1"/>
  <c r="AZ105" s="1"/>
  <c r="BB86"/>
  <c r="BC86"/>
  <c r="BD86"/>
  <c r="BE86"/>
  <c r="BE87" s="1"/>
  <c r="BE105" s="1"/>
  <c r="BG86"/>
  <c r="BH86"/>
  <c r="BH87" s="1"/>
  <c r="BI86"/>
  <c r="BI87" s="1"/>
  <c r="BJ86"/>
  <c r="BJ87" s="1"/>
  <c r="BJ105" s="1"/>
  <c r="BL86"/>
  <c r="BM86"/>
  <c r="BM87"/>
  <c r="BN86"/>
  <c r="BN87" s="1"/>
  <c r="BO86"/>
  <c r="BO87" s="1"/>
  <c r="BO105" s="1"/>
  <c r="BQ86"/>
  <c r="BR86"/>
  <c r="BS86"/>
  <c r="BS87" s="1"/>
  <c r="BS105" s="1"/>
  <c r="BT86"/>
  <c r="BV86"/>
  <c r="C87"/>
  <c r="C105" s="1"/>
  <c r="G87"/>
  <c r="G105" s="1"/>
  <c r="K87"/>
  <c r="L87"/>
  <c r="X87"/>
  <c r="X105"/>
  <c r="AA87"/>
  <c r="AA105"/>
  <c r="AJ87"/>
  <c r="AX87"/>
  <c r="AX105" s="1"/>
  <c r="AX106" s="1"/>
  <c r="BB87"/>
  <c r="BB105"/>
  <c r="BR87"/>
  <c r="BW88"/>
  <c r="BX88"/>
  <c r="BY88"/>
  <c r="BW89"/>
  <c r="BX89"/>
  <c r="BY89"/>
  <c r="BW90"/>
  <c r="BX90"/>
  <c r="BZ90"/>
  <c r="BY90"/>
  <c r="BW91"/>
  <c r="BX91"/>
  <c r="BZ91"/>
  <c r="BY91"/>
  <c r="BW92"/>
  <c r="BX92"/>
  <c r="BY92"/>
  <c r="BW93"/>
  <c r="BX93"/>
  <c r="BY93"/>
  <c r="BW94"/>
  <c r="BX94"/>
  <c r="BY94"/>
  <c r="BZ94" s="1"/>
  <c r="BW95"/>
  <c r="BX95"/>
  <c r="BY95"/>
  <c r="BZ95" s="1"/>
  <c r="E96"/>
  <c r="J96"/>
  <c r="O96"/>
  <c r="T96"/>
  <c r="Y96"/>
  <c r="AD96"/>
  <c r="AI96"/>
  <c r="AN96"/>
  <c r="AV96"/>
  <c r="BA96"/>
  <c r="BF96"/>
  <c r="BK96"/>
  <c r="BP96"/>
  <c r="BU96"/>
  <c r="BW96"/>
  <c r="BX96"/>
  <c r="BY96"/>
  <c r="CA96"/>
  <c r="E97"/>
  <c r="J97"/>
  <c r="O97"/>
  <c r="T97"/>
  <c r="T104" s="1"/>
  <c r="Y97"/>
  <c r="AD97"/>
  <c r="AI97"/>
  <c r="AN97"/>
  <c r="AV97"/>
  <c r="BA97"/>
  <c r="BF97"/>
  <c r="BK97"/>
  <c r="BP97"/>
  <c r="BU97"/>
  <c r="BW97"/>
  <c r="BX97"/>
  <c r="BY97"/>
  <c r="CA97"/>
  <c r="E98"/>
  <c r="J98"/>
  <c r="O98"/>
  <c r="T98"/>
  <c r="Y98"/>
  <c r="AD98"/>
  <c r="AI98"/>
  <c r="AN98"/>
  <c r="AV98"/>
  <c r="BA98"/>
  <c r="BF98"/>
  <c r="BK98"/>
  <c r="BP98"/>
  <c r="BU98"/>
  <c r="BW98"/>
  <c r="BX98"/>
  <c r="BY98"/>
  <c r="CA98"/>
  <c r="E99"/>
  <c r="AN99"/>
  <c r="BK99"/>
  <c r="BW99"/>
  <c r="BX99"/>
  <c r="BY99"/>
  <c r="CA99"/>
  <c r="BW100"/>
  <c r="BX100"/>
  <c r="BY100"/>
  <c r="BZ100"/>
  <c r="CA100"/>
  <c r="E101"/>
  <c r="J101"/>
  <c r="O101"/>
  <c r="T101"/>
  <c r="Y101"/>
  <c r="AD101"/>
  <c r="AI101"/>
  <c r="AI104" s="1"/>
  <c r="AN101"/>
  <c r="AV101"/>
  <c r="BA101"/>
  <c r="BF101"/>
  <c r="BK101"/>
  <c r="BP101"/>
  <c r="BU101"/>
  <c r="BW101"/>
  <c r="BX101"/>
  <c r="BY101"/>
  <c r="CA101"/>
  <c r="E102"/>
  <c r="J102"/>
  <c r="Y102"/>
  <c r="AN102"/>
  <c r="AV102"/>
  <c r="BK102"/>
  <c r="BW102"/>
  <c r="BX102"/>
  <c r="BY102"/>
  <c r="CA102"/>
  <c r="BW103"/>
  <c r="BX103"/>
  <c r="BY103"/>
  <c r="B104"/>
  <c r="C104"/>
  <c r="D104"/>
  <c r="F104"/>
  <c r="G104"/>
  <c r="H104"/>
  <c r="I104"/>
  <c r="K104"/>
  <c r="L104"/>
  <c r="L105"/>
  <c r="M104"/>
  <c r="N104"/>
  <c r="P104"/>
  <c r="Q104"/>
  <c r="R104"/>
  <c r="S104"/>
  <c r="U104"/>
  <c r="V104"/>
  <c r="W104"/>
  <c r="X104"/>
  <c r="Z104"/>
  <c r="AA104"/>
  <c r="AB104"/>
  <c r="AC104"/>
  <c r="AE104"/>
  <c r="AF104"/>
  <c r="AG104"/>
  <c r="AH104"/>
  <c r="AJ104"/>
  <c r="AK104"/>
  <c r="AL104"/>
  <c r="AM104"/>
  <c r="AO104"/>
  <c r="AR104"/>
  <c r="AS104"/>
  <c r="AT104"/>
  <c r="AU104"/>
  <c r="AW104"/>
  <c r="AX104"/>
  <c r="AY104"/>
  <c r="AZ104"/>
  <c r="BB104"/>
  <c r="BC104"/>
  <c r="BD104"/>
  <c r="BE104"/>
  <c r="BG104"/>
  <c r="BH104"/>
  <c r="BI104"/>
  <c r="BJ104"/>
  <c r="BL104"/>
  <c r="BM104"/>
  <c r="BM105"/>
  <c r="BN104"/>
  <c r="BO104"/>
  <c r="BQ104"/>
  <c r="BR104"/>
  <c r="BS104"/>
  <c r="BT104"/>
  <c r="BV104"/>
  <c r="AB105"/>
  <c r="AE105"/>
  <c r="FH106"/>
  <c r="E8" i="9"/>
  <c r="J8"/>
  <c r="O8"/>
  <c r="P8"/>
  <c r="T8"/>
  <c r="Y8"/>
  <c r="Z8"/>
  <c r="AD8"/>
  <c r="AE8"/>
  <c r="AI8"/>
  <c r="AJ8"/>
  <c r="AN8"/>
  <c r="AO8"/>
  <c r="AS8"/>
  <c r="AY8"/>
  <c r="AT8"/>
  <c r="AX8"/>
  <c r="BC8"/>
  <c r="BD8"/>
  <c r="BE8"/>
  <c r="E9"/>
  <c r="J9"/>
  <c r="O9"/>
  <c r="P9"/>
  <c r="T9"/>
  <c r="Y9"/>
  <c r="AD9"/>
  <c r="AE9"/>
  <c r="AI9"/>
  <c r="AJ9"/>
  <c r="AN9"/>
  <c r="AO9"/>
  <c r="AS9"/>
  <c r="AX9"/>
  <c r="BC9"/>
  <c r="BD9"/>
  <c r="BE9"/>
  <c r="E10"/>
  <c r="J10"/>
  <c r="O10"/>
  <c r="T10"/>
  <c r="Y10"/>
  <c r="AD10"/>
  <c r="AI10"/>
  <c r="AN10"/>
  <c r="AT10" s="1"/>
  <c r="AS10"/>
  <c r="AX10"/>
  <c r="BD10"/>
  <c r="BF10" s="1"/>
  <c r="BE10"/>
  <c r="E11"/>
  <c r="J11"/>
  <c r="O11"/>
  <c r="T11"/>
  <c r="Y11"/>
  <c r="AD11"/>
  <c r="AI11"/>
  <c r="AN11"/>
  <c r="AS11"/>
  <c r="AX11"/>
  <c r="BD11"/>
  <c r="BE11"/>
  <c r="E18"/>
  <c r="J18"/>
  <c r="O18"/>
  <c r="T18"/>
  <c r="Y18"/>
  <c r="AD18"/>
  <c r="AI18"/>
  <c r="AN18"/>
  <c r="AS18"/>
  <c r="AX18"/>
  <c r="BD18"/>
  <c r="BF18" s="1"/>
  <c r="BE18"/>
  <c r="E19"/>
  <c r="O19"/>
  <c r="AD19"/>
  <c r="AI19"/>
  <c r="AN19"/>
  <c r="BD19"/>
  <c r="BF19" s="1"/>
  <c r="BE19"/>
  <c r="E22"/>
  <c r="J22"/>
  <c r="O22"/>
  <c r="T22"/>
  <c r="Y22"/>
  <c r="AD22"/>
  <c r="AI22"/>
  <c r="AN22"/>
  <c r="AS22"/>
  <c r="AX22"/>
  <c r="BD22"/>
  <c r="BF22" s="1"/>
  <c r="BE22"/>
  <c r="J23"/>
  <c r="T23"/>
  <c r="Y23"/>
  <c r="AD23"/>
  <c r="AI23"/>
  <c r="AO23"/>
  <c r="AS23"/>
  <c r="AT23"/>
  <c r="AX23"/>
  <c r="AY23"/>
  <c r="BC23"/>
  <c r="B10" i="5" s="1"/>
  <c r="BD23" i="9"/>
  <c r="BE23"/>
  <c r="BG23"/>
  <c r="C24"/>
  <c r="C39"/>
  <c r="J24"/>
  <c r="T24"/>
  <c r="Y24"/>
  <c r="AD24"/>
  <c r="AI24"/>
  <c r="BF24" s="1"/>
  <c r="AN24"/>
  <c r="AS24"/>
  <c r="AT24"/>
  <c r="AX24"/>
  <c r="AY24"/>
  <c r="BC24"/>
  <c r="BD24"/>
  <c r="BE24"/>
  <c r="D11" i="5" s="1"/>
  <c r="BG24" i="9"/>
  <c r="J25"/>
  <c r="M25"/>
  <c r="BD25" s="1"/>
  <c r="T25"/>
  <c r="Y25"/>
  <c r="AB25"/>
  <c r="AD25" s="1"/>
  <c r="BF25" s="1"/>
  <c r="AB39"/>
  <c r="AI25"/>
  <c r="AO25"/>
  <c r="BG25" s="1"/>
  <c r="AS25"/>
  <c r="AT25"/>
  <c r="AX25"/>
  <c r="AY25"/>
  <c r="BC25"/>
  <c r="BE25"/>
  <c r="BC26"/>
  <c r="BF26"/>
  <c r="BG26"/>
  <c r="E27"/>
  <c r="J27"/>
  <c r="O27"/>
  <c r="T27"/>
  <c r="Y27"/>
  <c r="AD27"/>
  <c r="AI27"/>
  <c r="AN27"/>
  <c r="AS27"/>
  <c r="AT27"/>
  <c r="AX27"/>
  <c r="AY27"/>
  <c r="BC27"/>
  <c r="BD27"/>
  <c r="BE27"/>
  <c r="BG27"/>
  <c r="E28"/>
  <c r="J28"/>
  <c r="O28"/>
  <c r="T28"/>
  <c r="Y28"/>
  <c r="AD28"/>
  <c r="AI28"/>
  <c r="AN28"/>
  <c r="AN39" s="1"/>
  <c r="AS28"/>
  <c r="AT28"/>
  <c r="AX28"/>
  <c r="AY28"/>
  <c r="BC28"/>
  <c r="BD28"/>
  <c r="BE28"/>
  <c r="BG28"/>
  <c r="J29"/>
  <c r="M29"/>
  <c r="BD29" s="1"/>
  <c r="P29"/>
  <c r="P39"/>
  <c r="T29"/>
  <c r="Y29"/>
  <c r="AD29"/>
  <c r="AE29"/>
  <c r="AI29"/>
  <c r="AL29"/>
  <c r="AO29"/>
  <c r="AS29"/>
  <c r="AT29"/>
  <c r="AX29"/>
  <c r="AY29"/>
  <c r="BC29"/>
  <c r="BE29"/>
  <c r="J30"/>
  <c r="O30"/>
  <c r="T30"/>
  <c r="Y30"/>
  <c r="AD30"/>
  <c r="BF30" s="1"/>
  <c r="AI30"/>
  <c r="AN30"/>
  <c r="AS30"/>
  <c r="AT30"/>
  <c r="AX30"/>
  <c r="AY30"/>
  <c r="BC30"/>
  <c r="BD30"/>
  <c r="BE30"/>
  <c r="D17" i="5"/>
  <c r="BG30" i="9"/>
  <c r="E31"/>
  <c r="J31"/>
  <c r="O31"/>
  <c r="T31"/>
  <c r="Y31"/>
  <c r="AD31"/>
  <c r="AI31"/>
  <c r="AN31"/>
  <c r="AS31"/>
  <c r="AT31"/>
  <c r="AX31"/>
  <c r="AX39" s="1"/>
  <c r="AY31"/>
  <c r="BC31"/>
  <c r="BD31"/>
  <c r="BE31"/>
  <c r="BG31"/>
  <c r="E32"/>
  <c r="J32"/>
  <c r="O32"/>
  <c r="T32"/>
  <c r="Y32"/>
  <c r="AD32"/>
  <c r="BF32" s="1"/>
  <c r="AI32"/>
  <c r="AN32"/>
  <c r="AS32"/>
  <c r="AT32"/>
  <c r="AX32"/>
  <c r="AY32"/>
  <c r="BC32"/>
  <c r="BD32"/>
  <c r="C19" i="5" s="1"/>
  <c r="BE32" i="9"/>
  <c r="BG32"/>
  <c r="E33"/>
  <c r="J33"/>
  <c r="O33"/>
  <c r="T33"/>
  <c r="Y33"/>
  <c r="AD33"/>
  <c r="AI33"/>
  <c r="AN33"/>
  <c r="AS33"/>
  <c r="AT33"/>
  <c r="AX33"/>
  <c r="AY33"/>
  <c r="BC33"/>
  <c r="B20" i="5"/>
  <c r="BD33" i="9"/>
  <c r="C20" i="5"/>
  <c r="BE33" i="9"/>
  <c r="D20" i="5"/>
  <c r="BG33" i="9"/>
  <c r="F21" i="5" s="1"/>
  <c r="E34" i="9"/>
  <c r="J34"/>
  <c r="O34"/>
  <c r="T34"/>
  <c r="Y34"/>
  <c r="AD34"/>
  <c r="AI34"/>
  <c r="AN34"/>
  <c r="AS34"/>
  <c r="AT34"/>
  <c r="AX34"/>
  <c r="AY34"/>
  <c r="BC34"/>
  <c r="BD34"/>
  <c r="BE34"/>
  <c r="BG34"/>
  <c r="E35"/>
  <c r="J35"/>
  <c r="O35"/>
  <c r="T35"/>
  <c r="Y35"/>
  <c r="AI35"/>
  <c r="BF35" s="1"/>
  <c r="E22" i="5" s="1"/>
  <c r="AN35" i="9"/>
  <c r="AS35"/>
  <c r="AT35"/>
  <c r="AX35"/>
  <c r="AY35"/>
  <c r="BC35"/>
  <c r="B22" i="5"/>
  <c r="BD35" i="9"/>
  <c r="BE35"/>
  <c r="D22" i="5"/>
  <c r="BG35" i="9"/>
  <c r="F22" i="5" s="1"/>
  <c r="E36" i="9"/>
  <c r="F36"/>
  <c r="F39" s="1"/>
  <c r="J36"/>
  <c r="K36"/>
  <c r="K39" s="1"/>
  <c r="O36"/>
  <c r="P36"/>
  <c r="T36"/>
  <c r="U36"/>
  <c r="U39" s="1"/>
  <c r="Y36"/>
  <c r="Z36"/>
  <c r="AD36"/>
  <c r="AE36"/>
  <c r="AI36"/>
  <c r="AJ36"/>
  <c r="AJ39" s="1"/>
  <c r="AJ50" s="1"/>
  <c r="AN36"/>
  <c r="AO36"/>
  <c r="AS36"/>
  <c r="AT36"/>
  <c r="AX36"/>
  <c r="AY36"/>
  <c r="BC36"/>
  <c r="BD36"/>
  <c r="BE36"/>
  <c r="BG36"/>
  <c r="E37"/>
  <c r="J37"/>
  <c r="O37"/>
  <c r="T37"/>
  <c r="Y37"/>
  <c r="AD37"/>
  <c r="AI37"/>
  <c r="AN37"/>
  <c r="AS37"/>
  <c r="AX37"/>
  <c r="BD37"/>
  <c r="BE37"/>
  <c r="E38"/>
  <c r="J38"/>
  <c r="O38"/>
  <c r="T38"/>
  <c r="Y38"/>
  <c r="AD38"/>
  <c r="AI38"/>
  <c r="BF38" s="1"/>
  <c r="AN38"/>
  <c r="AS38"/>
  <c r="AX38"/>
  <c r="BD38"/>
  <c r="BE38"/>
  <c r="B39"/>
  <c r="D39"/>
  <c r="E39"/>
  <c r="G39"/>
  <c r="H39"/>
  <c r="H50" s="1"/>
  <c r="H65" s="1"/>
  <c r="I39"/>
  <c r="L39"/>
  <c r="L50" s="1"/>
  <c r="N39"/>
  <c r="Q39"/>
  <c r="Q50" s="1"/>
  <c r="Q65" s="1"/>
  <c r="R39"/>
  <c r="S39"/>
  <c r="V39"/>
  <c r="W39"/>
  <c r="X39"/>
  <c r="Z39"/>
  <c r="AA39"/>
  <c r="AC39"/>
  <c r="AC50"/>
  <c r="AC65" s="1"/>
  <c r="AF39"/>
  <c r="AG39"/>
  <c r="AH39"/>
  <c r="AH50" s="1"/>
  <c r="AH65" s="1"/>
  <c r="AK39"/>
  <c r="AL39"/>
  <c r="AL50" s="1"/>
  <c r="AL65" s="1"/>
  <c r="AL112" s="1"/>
  <c r="AM39"/>
  <c r="AP39"/>
  <c r="AQ39"/>
  <c r="AR39"/>
  <c r="AU39"/>
  <c r="AV39"/>
  <c r="AV50" s="1"/>
  <c r="AV65" s="1"/>
  <c r="AW39"/>
  <c r="BA39"/>
  <c r="BB39"/>
  <c r="E40"/>
  <c r="J40"/>
  <c r="J49" s="1"/>
  <c r="O40"/>
  <c r="BF40" s="1"/>
  <c r="P40"/>
  <c r="BG40"/>
  <c r="T40"/>
  <c r="Y40"/>
  <c r="AD40"/>
  <c r="AI40"/>
  <c r="AN40"/>
  <c r="AS40"/>
  <c r="AT40"/>
  <c r="AX40"/>
  <c r="AY40"/>
  <c r="BC40"/>
  <c r="B30" i="5" s="1"/>
  <c r="BD40" i="9"/>
  <c r="C30" i="5" s="1"/>
  <c r="BE40" i="9"/>
  <c r="E41"/>
  <c r="J41"/>
  <c r="O41"/>
  <c r="T41"/>
  <c r="Y41"/>
  <c r="AD41"/>
  <c r="AI41"/>
  <c r="AN41"/>
  <c r="AS41"/>
  <c r="AT41"/>
  <c r="AX41"/>
  <c r="AY41"/>
  <c r="BC41"/>
  <c r="BD41"/>
  <c r="BE41"/>
  <c r="BG41"/>
  <c r="F31" i="5" s="1"/>
  <c r="E42" i="9"/>
  <c r="J42"/>
  <c r="O42"/>
  <c r="T42"/>
  <c r="Y42"/>
  <c r="AD42"/>
  <c r="AI42"/>
  <c r="AN42"/>
  <c r="AS42"/>
  <c r="AT42"/>
  <c r="AX42"/>
  <c r="AY42"/>
  <c r="BC42"/>
  <c r="BD42"/>
  <c r="BE42"/>
  <c r="BF42"/>
  <c r="BG42"/>
  <c r="E43"/>
  <c r="J43"/>
  <c r="O43"/>
  <c r="T43"/>
  <c r="Y43"/>
  <c r="AD43"/>
  <c r="AI43"/>
  <c r="AN43"/>
  <c r="AS43"/>
  <c r="AT43"/>
  <c r="AX43"/>
  <c r="AY43"/>
  <c r="BC43"/>
  <c r="B33" i="5"/>
  <c r="BD43" i="9"/>
  <c r="BE43"/>
  <c r="D33" i="5"/>
  <c r="BG43" i="9"/>
  <c r="F33" i="5" s="1"/>
  <c r="E44" i="9"/>
  <c r="J44"/>
  <c r="O44"/>
  <c r="T44"/>
  <c r="Y44"/>
  <c r="AD44"/>
  <c r="BF44"/>
  <c r="AI44"/>
  <c r="AN44"/>
  <c r="AS44"/>
  <c r="AT44"/>
  <c r="AX44"/>
  <c r="AY44"/>
  <c r="BC44"/>
  <c r="BD44"/>
  <c r="BE44"/>
  <c r="BG44"/>
  <c r="E45"/>
  <c r="J45"/>
  <c r="O45"/>
  <c r="T45"/>
  <c r="Y45"/>
  <c r="AD45"/>
  <c r="AI45"/>
  <c r="AN45"/>
  <c r="BF45" s="1"/>
  <c r="E35" i="5" s="1"/>
  <c r="AS45" i="9"/>
  <c r="AT45"/>
  <c r="AX45"/>
  <c r="AY45"/>
  <c r="BC45"/>
  <c r="BD45"/>
  <c r="C35" i="5"/>
  <c r="BE45" i="9"/>
  <c r="D35" i="5" s="1"/>
  <c r="BG45" i="9"/>
  <c r="F35" i="5"/>
  <c r="E46" i="9"/>
  <c r="BF46" s="1"/>
  <c r="J46"/>
  <c r="O46"/>
  <c r="T46"/>
  <c r="T49"/>
  <c r="Y46"/>
  <c r="AD46"/>
  <c r="AI46"/>
  <c r="AN46"/>
  <c r="AS46"/>
  <c r="AT46"/>
  <c r="AX46"/>
  <c r="AY46"/>
  <c r="BC46"/>
  <c r="BD46"/>
  <c r="BE46"/>
  <c r="BG46"/>
  <c r="E47"/>
  <c r="J47"/>
  <c r="O47"/>
  <c r="T47"/>
  <c r="Y47"/>
  <c r="AD47"/>
  <c r="AI47"/>
  <c r="AN47"/>
  <c r="AS47"/>
  <c r="AX47"/>
  <c r="BD47"/>
  <c r="BE47"/>
  <c r="E48"/>
  <c r="J48"/>
  <c r="O48"/>
  <c r="T48"/>
  <c r="Y48"/>
  <c r="AD48"/>
  <c r="AI48"/>
  <c r="AN48"/>
  <c r="AS48"/>
  <c r="AX48"/>
  <c r="BD48"/>
  <c r="BE48"/>
  <c r="B49"/>
  <c r="C49"/>
  <c r="C50"/>
  <c r="D49"/>
  <c r="D50" s="1"/>
  <c r="D65" s="1"/>
  <c r="D112" s="1"/>
  <c r="F49"/>
  <c r="F50" s="1"/>
  <c r="G49"/>
  <c r="H49"/>
  <c r="I49"/>
  <c r="I50" s="1"/>
  <c r="I65" s="1"/>
  <c r="K49"/>
  <c r="K50" s="1"/>
  <c r="L49"/>
  <c r="M49"/>
  <c r="N49"/>
  <c r="N50" s="1"/>
  <c r="P49"/>
  <c r="Q49"/>
  <c r="R49"/>
  <c r="R50" s="1"/>
  <c r="R65" s="1"/>
  <c r="S49"/>
  <c r="S50" s="1"/>
  <c r="S65" s="1"/>
  <c r="U49"/>
  <c r="V49"/>
  <c r="W49"/>
  <c r="X49"/>
  <c r="X50" s="1"/>
  <c r="Z49"/>
  <c r="Z50"/>
  <c r="AA49"/>
  <c r="AB49"/>
  <c r="AC49"/>
  <c r="AE49"/>
  <c r="AF49"/>
  <c r="AF50" s="1"/>
  <c r="AF65" s="1"/>
  <c r="AG49"/>
  <c r="AG50" s="1"/>
  <c r="AH49"/>
  <c r="AJ49"/>
  <c r="AK49"/>
  <c r="AK50" s="1"/>
  <c r="AL49"/>
  <c r="AM49"/>
  <c r="AO49"/>
  <c r="AP49"/>
  <c r="AP50"/>
  <c r="AP65" s="1"/>
  <c r="AQ49"/>
  <c r="AR49"/>
  <c r="AR50"/>
  <c r="AR65" s="1"/>
  <c r="AU49"/>
  <c r="AU50"/>
  <c r="AU65"/>
  <c r="AV49"/>
  <c r="AW49"/>
  <c r="AW50" s="1"/>
  <c r="AX49"/>
  <c r="BA49"/>
  <c r="BA50"/>
  <c r="BB49"/>
  <c r="BB50" s="1"/>
  <c r="BB65" s="1"/>
  <c r="B50"/>
  <c r="B65"/>
  <c r="G50"/>
  <c r="K65"/>
  <c r="U50"/>
  <c r="W50"/>
  <c r="W65"/>
  <c r="W112" s="1"/>
  <c r="AM50"/>
  <c r="AM65" s="1"/>
  <c r="AQ50"/>
  <c r="AQ65" s="1"/>
  <c r="E51"/>
  <c r="J51"/>
  <c r="O51"/>
  <c r="T51"/>
  <c r="Y51"/>
  <c r="AD51"/>
  <c r="AI51"/>
  <c r="AN51"/>
  <c r="AS51"/>
  <c r="AX51"/>
  <c r="BD51"/>
  <c r="BE51"/>
  <c r="E52"/>
  <c r="J52"/>
  <c r="O52"/>
  <c r="T52"/>
  <c r="Y52"/>
  <c r="AD52"/>
  <c r="AI52"/>
  <c r="AN52"/>
  <c r="AS52"/>
  <c r="AX52"/>
  <c r="BD52"/>
  <c r="BE52"/>
  <c r="E53"/>
  <c r="J53"/>
  <c r="O53"/>
  <c r="T53"/>
  <c r="Y53"/>
  <c r="AD53"/>
  <c r="AI53"/>
  <c r="AN53"/>
  <c r="AS53"/>
  <c r="AS64"/>
  <c r="AX53"/>
  <c r="BD53"/>
  <c r="BE53"/>
  <c r="BF53"/>
  <c r="E54"/>
  <c r="J54"/>
  <c r="O54"/>
  <c r="T54"/>
  <c r="Y54"/>
  <c r="AD54"/>
  <c r="AI54"/>
  <c r="AN54"/>
  <c r="AS54"/>
  <c r="AX54"/>
  <c r="BD54"/>
  <c r="BE54"/>
  <c r="E55"/>
  <c r="J55"/>
  <c r="O55"/>
  <c r="T55"/>
  <c r="Y55"/>
  <c r="AD55"/>
  <c r="AI55"/>
  <c r="AN55"/>
  <c r="AS55"/>
  <c r="AX55"/>
  <c r="BD55"/>
  <c r="BE55"/>
  <c r="E56"/>
  <c r="J56"/>
  <c r="O56"/>
  <c r="T56"/>
  <c r="Y56"/>
  <c r="AD56"/>
  <c r="AI56"/>
  <c r="AN56"/>
  <c r="AS56"/>
  <c r="AX56"/>
  <c r="BD56"/>
  <c r="BE56"/>
  <c r="E57"/>
  <c r="J57"/>
  <c r="O57"/>
  <c r="T57"/>
  <c r="Y57"/>
  <c r="AD57"/>
  <c r="AI57"/>
  <c r="AN57"/>
  <c r="AS57"/>
  <c r="AX57"/>
  <c r="BD57"/>
  <c r="BE57"/>
  <c r="E58"/>
  <c r="J58"/>
  <c r="O58"/>
  <c r="T58"/>
  <c r="Y58"/>
  <c r="AD58"/>
  <c r="AI58"/>
  <c r="AN58"/>
  <c r="AS58"/>
  <c r="AX58"/>
  <c r="BD58"/>
  <c r="BE58"/>
  <c r="E59"/>
  <c r="J59"/>
  <c r="O59"/>
  <c r="T59"/>
  <c r="Y59"/>
  <c r="AD59"/>
  <c r="AI59"/>
  <c r="AN59"/>
  <c r="AS59"/>
  <c r="AT59"/>
  <c r="BG59" s="1"/>
  <c r="AX59"/>
  <c r="AY59"/>
  <c r="BC59"/>
  <c r="BD59"/>
  <c r="BE59"/>
  <c r="E60"/>
  <c r="J60"/>
  <c r="O60"/>
  <c r="T60"/>
  <c r="Y60"/>
  <c r="AD60"/>
  <c r="BF60" s="1"/>
  <c r="AI60"/>
  <c r="AN60"/>
  <c r="AS60"/>
  <c r="AT60"/>
  <c r="AX60"/>
  <c r="AY60"/>
  <c r="BC60"/>
  <c r="BC64" s="1"/>
  <c r="BD60"/>
  <c r="BE60"/>
  <c r="E61"/>
  <c r="J61"/>
  <c r="O61"/>
  <c r="T61"/>
  <c r="Y61"/>
  <c r="AD61"/>
  <c r="AI61"/>
  <c r="AN61"/>
  <c r="AS61"/>
  <c r="AT61"/>
  <c r="AX61"/>
  <c r="AY61"/>
  <c r="BC61"/>
  <c r="BD61"/>
  <c r="BE61"/>
  <c r="BG61"/>
  <c r="E62"/>
  <c r="BF62" s="1"/>
  <c r="J62"/>
  <c r="O62"/>
  <c r="T62"/>
  <c r="Y62"/>
  <c r="AD62"/>
  <c r="AI62"/>
  <c r="AN62"/>
  <c r="AS62"/>
  <c r="AT62"/>
  <c r="AX62"/>
  <c r="AY62"/>
  <c r="BG62" s="1"/>
  <c r="BC62"/>
  <c r="BD62"/>
  <c r="BE62"/>
  <c r="E63"/>
  <c r="J63"/>
  <c r="O63"/>
  <c r="T63"/>
  <c r="Y63"/>
  <c r="AD63"/>
  <c r="AI63"/>
  <c r="AN63"/>
  <c r="AS63"/>
  <c r="AX63"/>
  <c r="BD63"/>
  <c r="BE63"/>
  <c r="B64"/>
  <c r="C64"/>
  <c r="D64"/>
  <c r="F64"/>
  <c r="G64"/>
  <c r="H64"/>
  <c r="I64"/>
  <c r="K64"/>
  <c r="L64"/>
  <c r="M64"/>
  <c r="N64"/>
  <c r="P64"/>
  <c r="Q64"/>
  <c r="R64"/>
  <c r="S64"/>
  <c r="U64"/>
  <c r="V64"/>
  <c r="W64"/>
  <c r="X64"/>
  <c r="Z64"/>
  <c r="AA64"/>
  <c r="AB64"/>
  <c r="AC64"/>
  <c r="AE64"/>
  <c r="AF64"/>
  <c r="AG64"/>
  <c r="AH64"/>
  <c r="AJ64"/>
  <c r="AK64"/>
  <c r="AL64"/>
  <c r="AM64"/>
  <c r="AO64"/>
  <c r="AP64"/>
  <c r="AQ64"/>
  <c r="AR64"/>
  <c r="AU64"/>
  <c r="AV64"/>
  <c r="AW64"/>
  <c r="BA64"/>
  <c r="BB64"/>
  <c r="N65"/>
  <c r="BA65"/>
  <c r="BF66"/>
  <c r="E67"/>
  <c r="J67"/>
  <c r="O67"/>
  <c r="T67"/>
  <c r="Y67"/>
  <c r="AD67"/>
  <c r="AI67"/>
  <c r="AN67"/>
  <c r="AS67"/>
  <c r="AX67"/>
  <c r="BD67"/>
  <c r="BE67"/>
  <c r="E68"/>
  <c r="J68"/>
  <c r="O68"/>
  <c r="T68"/>
  <c r="Y68"/>
  <c r="AD68"/>
  <c r="AI68"/>
  <c r="AN68"/>
  <c r="AS68"/>
  <c r="AT68"/>
  <c r="AX68"/>
  <c r="AY68"/>
  <c r="BC68"/>
  <c r="BD68"/>
  <c r="BE68"/>
  <c r="BG68"/>
  <c r="E69"/>
  <c r="J69"/>
  <c r="O69"/>
  <c r="T69"/>
  <c r="Y69"/>
  <c r="AD69"/>
  <c r="AI69"/>
  <c r="AN69"/>
  <c r="AS69"/>
  <c r="AT69"/>
  <c r="AX69"/>
  <c r="AY69"/>
  <c r="BC69"/>
  <c r="BD69"/>
  <c r="BE69"/>
  <c r="BG69"/>
  <c r="E70"/>
  <c r="J70"/>
  <c r="O70"/>
  <c r="T70"/>
  <c r="Y70"/>
  <c r="AD70"/>
  <c r="AI70"/>
  <c r="AN70"/>
  <c r="AS70"/>
  <c r="AT70"/>
  <c r="AX70"/>
  <c r="AY70"/>
  <c r="BC70"/>
  <c r="BD70"/>
  <c r="BE70"/>
  <c r="BG70"/>
  <c r="E71"/>
  <c r="J71"/>
  <c r="O71"/>
  <c r="T71"/>
  <c r="Y71"/>
  <c r="AD71"/>
  <c r="AI71"/>
  <c r="AN71"/>
  <c r="AS71"/>
  <c r="AT71"/>
  <c r="AX71"/>
  <c r="AY71"/>
  <c r="BC71"/>
  <c r="BD71"/>
  <c r="BE71"/>
  <c r="BG71"/>
  <c r="J72"/>
  <c r="O72"/>
  <c r="T72"/>
  <c r="Y72"/>
  <c r="AD72"/>
  <c r="AI72"/>
  <c r="AN72"/>
  <c r="AS72"/>
  <c r="AT72"/>
  <c r="AX72"/>
  <c r="AY72"/>
  <c r="BC72"/>
  <c r="B15" i="2" s="1"/>
  <c r="BD72" i="9"/>
  <c r="C15" i="2"/>
  <c r="BE72" i="9"/>
  <c r="D15" i="2" s="1"/>
  <c r="BG72" i="9"/>
  <c r="E73"/>
  <c r="J73"/>
  <c r="O73"/>
  <c r="T73"/>
  <c r="Y73"/>
  <c r="AD73"/>
  <c r="AE73"/>
  <c r="BG73"/>
  <c r="F16" i="2"/>
  <c r="AI73" i="9"/>
  <c r="AN73"/>
  <c r="AS73"/>
  <c r="AT73"/>
  <c r="AX73"/>
  <c r="AY73"/>
  <c r="BC73"/>
  <c r="B16" i="2"/>
  <c r="BD73" i="9"/>
  <c r="C24" i="2" s="1"/>
  <c r="O24" s="1"/>
  <c r="BE73" i="9"/>
  <c r="E74"/>
  <c r="J74"/>
  <c r="O74"/>
  <c r="T74"/>
  <c r="Y74"/>
  <c r="AD74"/>
  <c r="BF74" s="1"/>
  <c r="AI74"/>
  <c r="AN74"/>
  <c r="AS74"/>
  <c r="AT74"/>
  <c r="AX74"/>
  <c r="AY74"/>
  <c r="BC74"/>
  <c r="BD74"/>
  <c r="BE74"/>
  <c r="BG74"/>
  <c r="E75"/>
  <c r="BF75"/>
  <c r="J75"/>
  <c r="O75"/>
  <c r="T75"/>
  <c r="Y75"/>
  <c r="AD75"/>
  <c r="AI75"/>
  <c r="AN75"/>
  <c r="AS75"/>
  <c r="AT75"/>
  <c r="AX75"/>
  <c r="AY75"/>
  <c r="BC75"/>
  <c r="BD75"/>
  <c r="BE75"/>
  <c r="BG75"/>
  <c r="E76"/>
  <c r="BF76" s="1"/>
  <c r="J76"/>
  <c r="O76"/>
  <c r="T76"/>
  <c r="Y76"/>
  <c r="AD76"/>
  <c r="AI76"/>
  <c r="AN76"/>
  <c r="AS76"/>
  <c r="AT76"/>
  <c r="AX76"/>
  <c r="AY76"/>
  <c r="BC76"/>
  <c r="BD76"/>
  <c r="BE76"/>
  <c r="BG76"/>
  <c r="J77"/>
  <c r="P77"/>
  <c r="P81"/>
  <c r="T77"/>
  <c r="Y77"/>
  <c r="AO77"/>
  <c r="AO81"/>
  <c r="AS77"/>
  <c r="AT77"/>
  <c r="AX77"/>
  <c r="AY77"/>
  <c r="BC77"/>
  <c r="BD77"/>
  <c r="BE77"/>
  <c r="BF77"/>
  <c r="BG77"/>
  <c r="E78"/>
  <c r="J78"/>
  <c r="O78"/>
  <c r="T78"/>
  <c r="Y78"/>
  <c r="AD78"/>
  <c r="AI78"/>
  <c r="AN78"/>
  <c r="AS78"/>
  <c r="AT78"/>
  <c r="AX78"/>
  <c r="AY78"/>
  <c r="BC78"/>
  <c r="BD78"/>
  <c r="BE78"/>
  <c r="BG78"/>
  <c r="E79"/>
  <c r="J79"/>
  <c r="O79"/>
  <c r="T79"/>
  <c r="Y79"/>
  <c r="AD79"/>
  <c r="AI79"/>
  <c r="AN79"/>
  <c r="AS79"/>
  <c r="AT79"/>
  <c r="AX79"/>
  <c r="AY79"/>
  <c r="BC79"/>
  <c r="BD79"/>
  <c r="BE79"/>
  <c r="BG79"/>
  <c r="E80"/>
  <c r="J80"/>
  <c r="O80"/>
  <c r="T80"/>
  <c r="Y80"/>
  <c r="AD80"/>
  <c r="AN80"/>
  <c r="AS80"/>
  <c r="AT80"/>
  <c r="AX80"/>
  <c r="AY80"/>
  <c r="BC80"/>
  <c r="B32" i="2" s="1"/>
  <c r="BD80" i="9"/>
  <c r="BE80"/>
  <c r="BG80"/>
  <c r="B81"/>
  <c r="C81"/>
  <c r="D81"/>
  <c r="F81"/>
  <c r="G81"/>
  <c r="H81"/>
  <c r="I81"/>
  <c r="K81"/>
  <c r="L81"/>
  <c r="M81"/>
  <c r="N81"/>
  <c r="O81"/>
  <c r="Q81"/>
  <c r="R81"/>
  <c r="S81"/>
  <c r="U81"/>
  <c r="U91" s="1"/>
  <c r="U110" s="1"/>
  <c r="V81"/>
  <c r="W81"/>
  <c r="X81"/>
  <c r="Z81"/>
  <c r="Z91" s="1"/>
  <c r="AA81"/>
  <c r="AA91"/>
  <c r="AB81"/>
  <c r="AC81"/>
  <c r="AE81"/>
  <c r="AF81"/>
  <c r="AG81"/>
  <c r="AH81"/>
  <c r="AJ81"/>
  <c r="AK81"/>
  <c r="AL81"/>
  <c r="AM81"/>
  <c r="AP81"/>
  <c r="AQ81"/>
  <c r="AQ91" s="1"/>
  <c r="AQ110" s="1"/>
  <c r="AR81"/>
  <c r="AU81"/>
  <c r="AV81"/>
  <c r="AV91"/>
  <c r="AV110" s="1"/>
  <c r="AW81"/>
  <c r="BA81"/>
  <c r="BA91" s="1"/>
  <c r="BB81"/>
  <c r="E82"/>
  <c r="J82"/>
  <c r="P82"/>
  <c r="T82"/>
  <c r="Y82"/>
  <c r="AD82"/>
  <c r="AI82"/>
  <c r="AN82"/>
  <c r="AS82"/>
  <c r="AT82"/>
  <c r="AX82"/>
  <c r="AY82"/>
  <c r="BC82"/>
  <c r="BD82"/>
  <c r="BE82"/>
  <c r="D36" i="2"/>
  <c r="E83" i="9"/>
  <c r="J83"/>
  <c r="O83"/>
  <c r="T83"/>
  <c r="Y83"/>
  <c r="AD83"/>
  <c r="BF83" s="1"/>
  <c r="AI83"/>
  <c r="AN83"/>
  <c r="AS83"/>
  <c r="AT83"/>
  <c r="AX83"/>
  <c r="AY83"/>
  <c r="BC83"/>
  <c r="BD83"/>
  <c r="BE83"/>
  <c r="BG83"/>
  <c r="E84"/>
  <c r="BF84" s="1"/>
  <c r="J84"/>
  <c r="O84"/>
  <c r="T84"/>
  <c r="Y84"/>
  <c r="AD84"/>
  <c r="AI84"/>
  <c r="AN84"/>
  <c r="AS84"/>
  <c r="AT84"/>
  <c r="AX84"/>
  <c r="AY84"/>
  <c r="BC84"/>
  <c r="BD84"/>
  <c r="BE84"/>
  <c r="BG84"/>
  <c r="E85"/>
  <c r="J85"/>
  <c r="O85"/>
  <c r="T85"/>
  <c r="Y85"/>
  <c r="AD85"/>
  <c r="AI85"/>
  <c r="AN85"/>
  <c r="AS85"/>
  <c r="AT85"/>
  <c r="AX85"/>
  <c r="AY85"/>
  <c r="BC85"/>
  <c r="BD85"/>
  <c r="BE85"/>
  <c r="BG85"/>
  <c r="E86"/>
  <c r="J86"/>
  <c r="O86"/>
  <c r="T86"/>
  <c r="Y86"/>
  <c r="AD86"/>
  <c r="AI86"/>
  <c r="AN86"/>
  <c r="AS86"/>
  <c r="AT86"/>
  <c r="AX86"/>
  <c r="AY86"/>
  <c r="BC86"/>
  <c r="BD86"/>
  <c r="BE86"/>
  <c r="D40" i="2" s="1"/>
  <c r="BG86" i="9"/>
  <c r="E87"/>
  <c r="J87"/>
  <c r="O87"/>
  <c r="T87"/>
  <c r="Y87"/>
  <c r="AD87"/>
  <c r="AI87"/>
  <c r="AN87"/>
  <c r="AS87"/>
  <c r="AT87"/>
  <c r="AX87"/>
  <c r="AY87"/>
  <c r="AY90"/>
  <c r="BC87"/>
  <c r="BD87"/>
  <c r="BE87"/>
  <c r="BF87"/>
  <c r="BG87"/>
  <c r="E88"/>
  <c r="J88"/>
  <c r="O88"/>
  <c r="T88"/>
  <c r="Y88"/>
  <c r="AD88"/>
  <c r="AI88"/>
  <c r="AN88"/>
  <c r="AS88"/>
  <c r="AT88"/>
  <c r="AX88"/>
  <c r="AY88"/>
  <c r="BC88"/>
  <c r="BD88"/>
  <c r="BE88"/>
  <c r="BG88"/>
  <c r="E89"/>
  <c r="J89"/>
  <c r="O89"/>
  <c r="T89"/>
  <c r="Y89"/>
  <c r="AD89"/>
  <c r="AI89"/>
  <c r="AN89"/>
  <c r="AS89"/>
  <c r="AT89"/>
  <c r="AX89"/>
  <c r="AY89"/>
  <c r="BC89"/>
  <c r="BD89"/>
  <c r="BE89"/>
  <c r="BG89"/>
  <c r="B90"/>
  <c r="B91" s="1"/>
  <c r="B110" s="1"/>
  <c r="B112" s="1"/>
  <c r="C90"/>
  <c r="C91"/>
  <c r="C110" s="1"/>
  <c r="D90"/>
  <c r="D91" s="1"/>
  <c r="D110" s="1"/>
  <c r="F90"/>
  <c r="G90"/>
  <c r="G91" s="1"/>
  <c r="G110" s="1"/>
  <c r="H90"/>
  <c r="H91" s="1"/>
  <c r="H110" s="1"/>
  <c r="I90"/>
  <c r="I91"/>
  <c r="K90"/>
  <c r="K91" s="1"/>
  <c r="K110" s="1"/>
  <c r="L90"/>
  <c r="L91" s="1"/>
  <c r="M90"/>
  <c r="M91" s="1"/>
  <c r="N90"/>
  <c r="N91"/>
  <c r="N110"/>
  <c r="Q90"/>
  <c r="Q91"/>
  <c r="R90"/>
  <c r="R91" s="1"/>
  <c r="S90"/>
  <c r="S91"/>
  <c r="S110"/>
  <c r="U90"/>
  <c r="V90"/>
  <c r="V91"/>
  <c r="W90"/>
  <c r="X90"/>
  <c r="Z90"/>
  <c r="AA90"/>
  <c r="AB90"/>
  <c r="AB91" s="1"/>
  <c r="AB110" s="1"/>
  <c r="AC90"/>
  <c r="AC91"/>
  <c r="AC110" s="1"/>
  <c r="AE90"/>
  <c r="AE91" s="1"/>
  <c r="AE110" s="1"/>
  <c r="AF90"/>
  <c r="AF91" s="1"/>
  <c r="AG90"/>
  <c r="AG91" s="1"/>
  <c r="AG110" s="1"/>
  <c r="AH90"/>
  <c r="AH91"/>
  <c r="AJ90"/>
  <c r="AK90"/>
  <c r="AK91"/>
  <c r="AL90"/>
  <c r="AM90"/>
  <c r="AM91" s="1"/>
  <c r="AM110" s="1"/>
  <c r="AO90"/>
  <c r="AO91" s="1"/>
  <c r="AP90"/>
  <c r="AP91"/>
  <c r="AP110"/>
  <c r="AQ90"/>
  <c r="AR90"/>
  <c r="AR91" s="1"/>
  <c r="AR110" s="1"/>
  <c r="AU90"/>
  <c r="AV90"/>
  <c r="AW90"/>
  <c r="AW91"/>
  <c r="AW110" s="1"/>
  <c r="W91"/>
  <c r="W110"/>
  <c r="X91"/>
  <c r="X110" s="1"/>
  <c r="AJ91"/>
  <c r="AJ110"/>
  <c r="AU91"/>
  <c r="BB91"/>
  <c r="BB110" s="1"/>
  <c r="E92"/>
  <c r="J92"/>
  <c r="O92"/>
  <c r="T92"/>
  <c r="Y92"/>
  <c r="AD92"/>
  <c r="AI92"/>
  <c r="AN92"/>
  <c r="AS92"/>
  <c r="AX92"/>
  <c r="BD92"/>
  <c r="BE92"/>
  <c r="E93"/>
  <c r="J93"/>
  <c r="O93"/>
  <c r="T93"/>
  <c r="Y93"/>
  <c r="AD93"/>
  <c r="BF93" s="1"/>
  <c r="AI93"/>
  <c r="AN93"/>
  <c r="AS93"/>
  <c r="AX93"/>
  <c r="AX109" s="1"/>
  <c r="BD93"/>
  <c r="BE93"/>
  <c r="E94"/>
  <c r="E109" s="1"/>
  <c r="J94"/>
  <c r="O94"/>
  <c r="T94"/>
  <c r="Y94"/>
  <c r="AD94"/>
  <c r="AI94"/>
  <c r="AN94"/>
  <c r="AS94"/>
  <c r="AX94"/>
  <c r="BD94"/>
  <c r="BE94"/>
  <c r="E95"/>
  <c r="J95"/>
  <c r="O95"/>
  <c r="T95"/>
  <c r="Y95"/>
  <c r="AD95"/>
  <c r="AI95"/>
  <c r="AN95"/>
  <c r="AS95"/>
  <c r="AX95"/>
  <c r="BD95"/>
  <c r="BE95"/>
  <c r="E96"/>
  <c r="BF96" s="1"/>
  <c r="J96"/>
  <c r="O96"/>
  <c r="T96"/>
  <c r="Y96"/>
  <c r="AD96"/>
  <c r="AI96"/>
  <c r="AN96"/>
  <c r="AS96"/>
  <c r="AX96"/>
  <c r="BD96"/>
  <c r="BE96"/>
  <c r="E97"/>
  <c r="J97"/>
  <c r="O97"/>
  <c r="BF97" s="1"/>
  <c r="T97"/>
  <c r="Y97"/>
  <c r="AD97"/>
  <c r="AI97"/>
  <c r="AN97"/>
  <c r="AS97"/>
  <c r="AX97"/>
  <c r="BD97"/>
  <c r="BE97"/>
  <c r="E98"/>
  <c r="J98"/>
  <c r="O98"/>
  <c r="T98"/>
  <c r="Y98"/>
  <c r="AD98"/>
  <c r="AI98"/>
  <c r="AN98"/>
  <c r="AS98"/>
  <c r="AX98"/>
  <c r="BD98"/>
  <c r="BE98"/>
  <c r="E99"/>
  <c r="J99"/>
  <c r="O99"/>
  <c r="T99"/>
  <c r="Y99"/>
  <c r="AD99"/>
  <c r="AI99"/>
  <c r="AN99"/>
  <c r="AS99"/>
  <c r="AX99"/>
  <c r="BD99"/>
  <c r="BE99"/>
  <c r="E100"/>
  <c r="J100"/>
  <c r="O100"/>
  <c r="T100"/>
  <c r="Y100"/>
  <c r="AD100"/>
  <c r="AI100"/>
  <c r="AL100"/>
  <c r="AS100"/>
  <c r="AT100"/>
  <c r="AX100"/>
  <c r="AY100"/>
  <c r="BC100"/>
  <c r="BD100"/>
  <c r="BE100"/>
  <c r="BG100"/>
  <c r="E101"/>
  <c r="J101"/>
  <c r="O101"/>
  <c r="T101"/>
  <c r="Y101"/>
  <c r="AD101"/>
  <c r="BF101" s="1"/>
  <c r="AI101"/>
  <c r="AN101"/>
  <c r="AS101"/>
  <c r="AT101"/>
  <c r="AX101"/>
  <c r="AY101"/>
  <c r="BC101"/>
  <c r="BD101"/>
  <c r="BE101"/>
  <c r="D57" i="2"/>
  <c r="BG101" i="9"/>
  <c r="E102"/>
  <c r="BF102" s="1"/>
  <c r="J102"/>
  <c r="O102"/>
  <c r="T102"/>
  <c r="Y102"/>
  <c r="AD102"/>
  <c r="AI102"/>
  <c r="AN102"/>
  <c r="AS102"/>
  <c r="AT102"/>
  <c r="AX102"/>
  <c r="AY102"/>
  <c r="BC102"/>
  <c r="BD102"/>
  <c r="BE102"/>
  <c r="BG102"/>
  <c r="BF103"/>
  <c r="BG103"/>
  <c r="E104"/>
  <c r="BF104"/>
  <c r="J104"/>
  <c r="O104"/>
  <c r="T104"/>
  <c r="Y104"/>
  <c r="AD104"/>
  <c r="AI104"/>
  <c r="AS104"/>
  <c r="AT104"/>
  <c r="AX104"/>
  <c r="AY104"/>
  <c r="BC104"/>
  <c r="BD104"/>
  <c r="BE104"/>
  <c r="BG104"/>
  <c r="E105"/>
  <c r="BF105" s="1"/>
  <c r="J105"/>
  <c r="O105"/>
  <c r="T105"/>
  <c r="Y105"/>
  <c r="AD105"/>
  <c r="AI105"/>
  <c r="AS105"/>
  <c r="AT105"/>
  <c r="AX105"/>
  <c r="AY105"/>
  <c r="BC105"/>
  <c r="BD105"/>
  <c r="BE105"/>
  <c r="BG105"/>
  <c r="E106"/>
  <c r="BF106" s="1"/>
  <c r="J106"/>
  <c r="O106"/>
  <c r="T106"/>
  <c r="Y106"/>
  <c r="AD106"/>
  <c r="AI106"/>
  <c r="AS106"/>
  <c r="AT106"/>
  <c r="AX106"/>
  <c r="AY106"/>
  <c r="BC106"/>
  <c r="BD106"/>
  <c r="BE106"/>
  <c r="BG106"/>
  <c r="E107"/>
  <c r="J107"/>
  <c r="O107"/>
  <c r="T107"/>
  <c r="Y107"/>
  <c r="AD107"/>
  <c r="AI107"/>
  <c r="AN107"/>
  <c r="AS107"/>
  <c r="AT107"/>
  <c r="AX107"/>
  <c r="AY107"/>
  <c r="BC107"/>
  <c r="BD107"/>
  <c r="BE107"/>
  <c r="BG107"/>
  <c r="E108"/>
  <c r="J108"/>
  <c r="O108"/>
  <c r="T108"/>
  <c r="Y108"/>
  <c r="AD108"/>
  <c r="AI108"/>
  <c r="AN108"/>
  <c r="AS108"/>
  <c r="AX108"/>
  <c r="BD108"/>
  <c r="BE108"/>
  <c r="BF108"/>
  <c r="B109"/>
  <c r="C109"/>
  <c r="D109"/>
  <c r="F109"/>
  <c r="G109"/>
  <c r="H109"/>
  <c r="I109"/>
  <c r="K109"/>
  <c r="L109"/>
  <c r="M109"/>
  <c r="N109"/>
  <c r="P109"/>
  <c r="Q109"/>
  <c r="Q110"/>
  <c r="R109"/>
  <c r="S109"/>
  <c r="U109"/>
  <c r="V109"/>
  <c r="W109"/>
  <c r="X109"/>
  <c r="Z109"/>
  <c r="AA109"/>
  <c r="AA110" s="1"/>
  <c r="AB109"/>
  <c r="AC109"/>
  <c r="AE109"/>
  <c r="AF109"/>
  <c r="AG109"/>
  <c r="AH109"/>
  <c r="AJ109"/>
  <c r="AK109"/>
  <c r="AL109"/>
  <c r="AM109"/>
  <c r="AO109"/>
  <c r="AO110"/>
  <c r="AP109"/>
  <c r="AQ109"/>
  <c r="AR109"/>
  <c r="AU109"/>
  <c r="AV109"/>
  <c r="AW109"/>
  <c r="BA109"/>
  <c r="BB109"/>
  <c r="L110"/>
  <c r="E111"/>
  <c r="U111"/>
  <c r="AE111"/>
  <c r="AI111"/>
  <c r="AJ111"/>
  <c r="AN111"/>
  <c r="AO111"/>
  <c r="AS111"/>
  <c r="AT111"/>
  <c r="AY111"/>
  <c r="BC111"/>
  <c r="BD111"/>
  <c r="BG111" s="1"/>
  <c r="BE111"/>
  <c r="BF111"/>
  <c r="U112"/>
  <c r="AM112"/>
  <c r="E8" i="10"/>
  <c r="J8"/>
  <c r="O8"/>
  <c r="P8"/>
  <c r="T8"/>
  <c r="U8"/>
  <c r="Y8"/>
  <c r="Z8"/>
  <c r="AD8"/>
  <c r="AE8"/>
  <c r="AI8"/>
  <c r="AJ8"/>
  <c r="AN8"/>
  <c r="AO8"/>
  <c r="AS8"/>
  <c r="AT8"/>
  <c r="AY8"/>
  <c r="BD8"/>
  <c r="BE8"/>
  <c r="BF8"/>
  <c r="BI8" s="1"/>
  <c r="BG8"/>
  <c r="BH8" s="1"/>
  <c r="BM8"/>
  <c r="BN8"/>
  <c r="BR8"/>
  <c r="BS8"/>
  <c r="BW8"/>
  <c r="BX8"/>
  <c r="CB8"/>
  <c r="CC8"/>
  <c r="CG8"/>
  <c r="CH8"/>
  <c r="CL8"/>
  <c r="CM8"/>
  <c r="CQ8"/>
  <c r="CR8"/>
  <c r="CV8"/>
  <c r="CW8"/>
  <c r="DC8"/>
  <c r="DM8" s="1"/>
  <c r="DE8"/>
  <c r="DO8"/>
  <c r="DK8"/>
  <c r="DL8"/>
  <c r="E9"/>
  <c r="J9"/>
  <c r="O9"/>
  <c r="P9"/>
  <c r="T9"/>
  <c r="U9"/>
  <c r="Y9"/>
  <c r="Z9"/>
  <c r="AD9"/>
  <c r="AE9"/>
  <c r="AI9"/>
  <c r="AJ9"/>
  <c r="AN9"/>
  <c r="AO9"/>
  <c r="AS9"/>
  <c r="BF9"/>
  <c r="BG9"/>
  <c r="BM9"/>
  <c r="BN9"/>
  <c r="BR9"/>
  <c r="BW9"/>
  <c r="DD9"/>
  <c r="DE9"/>
  <c r="DK9"/>
  <c r="DL9"/>
  <c r="DM9"/>
  <c r="E10"/>
  <c r="J10"/>
  <c r="O10"/>
  <c r="P10"/>
  <c r="T10"/>
  <c r="U10"/>
  <c r="Y10"/>
  <c r="Z10"/>
  <c r="AD10"/>
  <c r="AE10"/>
  <c r="AI10"/>
  <c r="AJ10"/>
  <c r="AN10"/>
  <c r="AO10"/>
  <c r="AS10"/>
  <c r="AT10"/>
  <c r="AY10"/>
  <c r="BD10"/>
  <c r="BE10"/>
  <c r="BF10"/>
  <c r="BG10"/>
  <c r="BM10"/>
  <c r="BN10"/>
  <c r="BR10"/>
  <c r="BS10"/>
  <c r="BW10"/>
  <c r="BX10"/>
  <c r="CB10"/>
  <c r="CC10"/>
  <c r="CG10"/>
  <c r="CH10"/>
  <c r="CL10"/>
  <c r="CM10"/>
  <c r="CQ10"/>
  <c r="CR10"/>
  <c r="CV10"/>
  <c r="CW10"/>
  <c r="DC10"/>
  <c r="DM10" s="1"/>
  <c r="DD10"/>
  <c r="DE10"/>
  <c r="DF10" s="1"/>
  <c r="DK10"/>
  <c r="DL10"/>
  <c r="DN10"/>
  <c r="DO10"/>
  <c r="E11"/>
  <c r="J11"/>
  <c r="O11"/>
  <c r="P11"/>
  <c r="T11"/>
  <c r="U11"/>
  <c r="Y11"/>
  <c r="Z11"/>
  <c r="AD11"/>
  <c r="AE11"/>
  <c r="AI11"/>
  <c r="AJ11"/>
  <c r="AN11"/>
  <c r="AO11"/>
  <c r="AS11"/>
  <c r="AT11"/>
  <c r="AY11"/>
  <c r="BD11"/>
  <c r="BE11"/>
  <c r="BF11"/>
  <c r="BI11" s="1"/>
  <c r="BG11"/>
  <c r="BM11"/>
  <c r="BN11"/>
  <c r="BR11"/>
  <c r="BS11"/>
  <c r="BW11"/>
  <c r="BX11"/>
  <c r="CB11"/>
  <c r="CC11"/>
  <c r="CG11"/>
  <c r="CH11"/>
  <c r="CL11"/>
  <c r="CM11"/>
  <c r="CQ11"/>
  <c r="CR11"/>
  <c r="CV11"/>
  <c r="CW11"/>
  <c r="DC11"/>
  <c r="DM11"/>
  <c r="DD11"/>
  <c r="DE11"/>
  <c r="DK11"/>
  <c r="DL11"/>
  <c r="E13"/>
  <c r="J13"/>
  <c r="O13"/>
  <c r="P13"/>
  <c r="T13"/>
  <c r="U13"/>
  <c r="Y13"/>
  <c r="Z13"/>
  <c r="AD13"/>
  <c r="AE13"/>
  <c r="AI13"/>
  <c r="AJ13"/>
  <c r="AN13"/>
  <c r="AO13"/>
  <c r="AS13"/>
  <c r="AT13"/>
  <c r="AX13"/>
  <c r="AY13"/>
  <c r="BC13"/>
  <c r="BD13"/>
  <c r="BE13"/>
  <c r="BF13"/>
  <c r="BG13"/>
  <c r="BM13"/>
  <c r="BN13"/>
  <c r="BR13"/>
  <c r="BS13"/>
  <c r="BW13"/>
  <c r="BX13"/>
  <c r="CB13"/>
  <c r="CC13"/>
  <c r="CG13"/>
  <c r="CH13"/>
  <c r="CL13"/>
  <c r="CM13"/>
  <c r="CQ13"/>
  <c r="CR13"/>
  <c r="CV13"/>
  <c r="CW13"/>
  <c r="DC13"/>
  <c r="DD13"/>
  <c r="DE13"/>
  <c r="DF13" s="1"/>
  <c r="DK13"/>
  <c r="DL13"/>
  <c r="DN13"/>
  <c r="DO13"/>
  <c r="E14"/>
  <c r="J14"/>
  <c r="O14"/>
  <c r="P14"/>
  <c r="T14"/>
  <c r="U14"/>
  <c r="Y14"/>
  <c r="Z14"/>
  <c r="AD14"/>
  <c r="AE14"/>
  <c r="AI14"/>
  <c r="AJ14"/>
  <c r="AN14"/>
  <c r="AO14"/>
  <c r="AS14"/>
  <c r="AT14"/>
  <c r="AX14"/>
  <c r="AY14"/>
  <c r="BC14"/>
  <c r="BD14"/>
  <c r="BE14"/>
  <c r="BF14"/>
  <c r="BG14"/>
  <c r="BH14" s="1"/>
  <c r="BM14"/>
  <c r="BN14"/>
  <c r="BR14"/>
  <c r="BS14"/>
  <c r="BW14"/>
  <c r="BX14"/>
  <c r="CB14"/>
  <c r="CC14"/>
  <c r="CG14"/>
  <c r="CH14"/>
  <c r="CL14"/>
  <c r="CM14"/>
  <c r="CQ14"/>
  <c r="CR14"/>
  <c r="CV14"/>
  <c r="CW14"/>
  <c r="DC14"/>
  <c r="DG14" s="1"/>
  <c r="DD14"/>
  <c r="DE14"/>
  <c r="DO14"/>
  <c r="DF14"/>
  <c r="DK14"/>
  <c r="DL14"/>
  <c r="DN14"/>
  <c r="E17"/>
  <c r="J17"/>
  <c r="O17"/>
  <c r="T17"/>
  <c r="Y17"/>
  <c r="AD17"/>
  <c r="AI17"/>
  <c r="AN17"/>
  <c r="AS17"/>
  <c r="AX17"/>
  <c r="BC17"/>
  <c r="BH17"/>
  <c r="BM17"/>
  <c r="BR17"/>
  <c r="BW17"/>
  <c r="CB17"/>
  <c r="CG17"/>
  <c r="CL17"/>
  <c r="CQ17"/>
  <c r="CV17"/>
  <c r="DF17"/>
  <c r="DK17"/>
  <c r="DM17"/>
  <c r="DN17"/>
  <c r="DO17"/>
  <c r="E18"/>
  <c r="J18"/>
  <c r="O18"/>
  <c r="T18"/>
  <c r="Y18"/>
  <c r="AD18"/>
  <c r="AE18"/>
  <c r="AI18"/>
  <c r="AJ18"/>
  <c r="AN18"/>
  <c r="AO18"/>
  <c r="AS18"/>
  <c r="AT18"/>
  <c r="AX18"/>
  <c r="AY18"/>
  <c r="BC18"/>
  <c r="BD18"/>
  <c r="BE18"/>
  <c r="BF18"/>
  <c r="DN18" s="1"/>
  <c r="BG18"/>
  <c r="DO18" s="1"/>
  <c r="BM18"/>
  <c r="BR18"/>
  <c r="DF18" s="1"/>
  <c r="BS18"/>
  <c r="BW18"/>
  <c r="CB18"/>
  <c r="CG18"/>
  <c r="CH18"/>
  <c r="CL18"/>
  <c r="CQ18"/>
  <c r="CR18"/>
  <c r="CV18"/>
  <c r="CW18"/>
  <c r="DC18"/>
  <c r="DD18"/>
  <c r="DE18"/>
  <c r="DK18"/>
  <c r="E19"/>
  <c r="J19"/>
  <c r="O19"/>
  <c r="T19"/>
  <c r="Y19"/>
  <c r="AD19"/>
  <c r="AE19"/>
  <c r="AI19"/>
  <c r="AJ19"/>
  <c r="AN19"/>
  <c r="AO19"/>
  <c r="AS19"/>
  <c r="AT19"/>
  <c r="AX19"/>
  <c r="AY19"/>
  <c r="BC19"/>
  <c r="BD19"/>
  <c r="BE19"/>
  <c r="BF19"/>
  <c r="BG19"/>
  <c r="BH19"/>
  <c r="BM19"/>
  <c r="BR19"/>
  <c r="BS19"/>
  <c r="BW19"/>
  <c r="CB19"/>
  <c r="CG19"/>
  <c r="CH19"/>
  <c r="CL19"/>
  <c r="CQ19"/>
  <c r="CR19"/>
  <c r="CV19"/>
  <c r="CW19"/>
  <c r="DC19"/>
  <c r="DD19"/>
  <c r="DE19"/>
  <c r="DK19"/>
  <c r="DM19"/>
  <c r="DN19"/>
  <c r="E20"/>
  <c r="J20"/>
  <c r="O20"/>
  <c r="T20"/>
  <c r="Y20"/>
  <c r="AD20"/>
  <c r="AD34" s="1"/>
  <c r="AE20"/>
  <c r="BI20" s="1"/>
  <c r="AI20"/>
  <c r="AJ20"/>
  <c r="AN20"/>
  <c r="AO20"/>
  <c r="AS20"/>
  <c r="AT20"/>
  <c r="AX20"/>
  <c r="AY20"/>
  <c r="BC20"/>
  <c r="BD20"/>
  <c r="BE20"/>
  <c r="BF20"/>
  <c r="BG20"/>
  <c r="BM20"/>
  <c r="BR20"/>
  <c r="BS20"/>
  <c r="BW20"/>
  <c r="CB20"/>
  <c r="CG20"/>
  <c r="CH20"/>
  <c r="CL20"/>
  <c r="CQ20"/>
  <c r="CR20"/>
  <c r="CV20"/>
  <c r="CW20"/>
  <c r="DC20"/>
  <c r="DD20"/>
  <c r="DE20"/>
  <c r="DK20"/>
  <c r="DM20"/>
  <c r="BH21"/>
  <c r="DC21"/>
  <c r="DM21"/>
  <c r="BO22" i="11" s="1"/>
  <c r="B22" i="12" s="1"/>
  <c r="DD21" i="10"/>
  <c r="DN21"/>
  <c r="DE21"/>
  <c r="DF21"/>
  <c r="DO21"/>
  <c r="DP21"/>
  <c r="E22"/>
  <c r="J22"/>
  <c r="O22"/>
  <c r="T22"/>
  <c r="Y22"/>
  <c r="AD22"/>
  <c r="AE22"/>
  <c r="AI22"/>
  <c r="AJ22"/>
  <c r="AN22"/>
  <c r="AO22"/>
  <c r="AS22"/>
  <c r="AT22"/>
  <c r="AX22"/>
  <c r="AY22"/>
  <c r="BC22"/>
  <c r="BD22"/>
  <c r="BE22"/>
  <c r="BF22"/>
  <c r="DN22" s="1"/>
  <c r="BG22"/>
  <c r="DO22"/>
  <c r="BM22"/>
  <c r="BR22"/>
  <c r="BS22"/>
  <c r="BW22"/>
  <c r="CB22"/>
  <c r="CG22"/>
  <c r="CH22"/>
  <c r="CL22"/>
  <c r="CQ22"/>
  <c r="CR22"/>
  <c r="CV22"/>
  <c r="CW22"/>
  <c r="DC22"/>
  <c r="DM22" s="1"/>
  <c r="DD22"/>
  <c r="DE22"/>
  <c r="DK22"/>
  <c r="E23"/>
  <c r="J23"/>
  <c r="O23"/>
  <c r="T23"/>
  <c r="Y23"/>
  <c r="AD23"/>
  <c r="AE23"/>
  <c r="AI23"/>
  <c r="AJ23"/>
  <c r="AN23"/>
  <c r="AO23"/>
  <c r="AS23"/>
  <c r="AT23"/>
  <c r="AX23"/>
  <c r="AY23"/>
  <c r="BC23"/>
  <c r="BD23"/>
  <c r="BE23"/>
  <c r="BF23"/>
  <c r="DN23" s="1"/>
  <c r="BG23"/>
  <c r="DO23" s="1"/>
  <c r="BM23"/>
  <c r="BR23"/>
  <c r="BS23"/>
  <c r="BW23"/>
  <c r="CB23"/>
  <c r="CG23"/>
  <c r="CH23"/>
  <c r="CL23"/>
  <c r="CQ23"/>
  <c r="CR23"/>
  <c r="CV23"/>
  <c r="CW23"/>
  <c r="DC23"/>
  <c r="DD23"/>
  <c r="DE23"/>
  <c r="DK23"/>
  <c r="J24"/>
  <c r="O24"/>
  <c r="W24"/>
  <c r="AD24"/>
  <c r="AE24"/>
  <c r="BI24" s="1"/>
  <c r="AI24"/>
  <c r="AJ24"/>
  <c r="AN24"/>
  <c r="AO24"/>
  <c r="AS24"/>
  <c r="AT24"/>
  <c r="AX24"/>
  <c r="AY24"/>
  <c r="BC24"/>
  <c r="BD24"/>
  <c r="BE24"/>
  <c r="BF24"/>
  <c r="BG24"/>
  <c r="DO24" s="1"/>
  <c r="BM24"/>
  <c r="BR24"/>
  <c r="BS24"/>
  <c r="BW24"/>
  <c r="BX24"/>
  <c r="CB24"/>
  <c r="CG24"/>
  <c r="CH24"/>
  <c r="CL24"/>
  <c r="CQ24"/>
  <c r="CR24"/>
  <c r="CV24"/>
  <c r="CW24"/>
  <c r="DC24"/>
  <c r="DM24"/>
  <c r="DD24"/>
  <c r="DE24"/>
  <c r="E25"/>
  <c r="J25"/>
  <c r="O25"/>
  <c r="T25"/>
  <c r="Y25"/>
  <c r="AD25"/>
  <c r="AE25"/>
  <c r="AI25"/>
  <c r="AJ25"/>
  <c r="AN25"/>
  <c r="AO25"/>
  <c r="AS25"/>
  <c r="AT25"/>
  <c r="AX25"/>
  <c r="AY25"/>
  <c r="BC25"/>
  <c r="BD25"/>
  <c r="BE25"/>
  <c r="BF25"/>
  <c r="DN25" s="1"/>
  <c r="BG25"/>
  <c r="BM25"/>
  <c r="DF25" s="1"/>
  <c r="BR25"/>
  <c r="BS25"/>
  <c r="BW25"/>
  <c r="CB25"/>
  <c r="CG25"/>
  <c r="CH25"/>
  <c r="CL25"/>
  <c r="CQ25"/>
  <c r="CR25"/>
  <c r="DG25" s="1"/>
  <c r="CV25"/>
  <c r="CW25"/>
  <c r="DC25"/>
  <c r="DD25"/>
  <c r="DE25"/>
  <c r="DK25"/>
  <c r="DM25"/>
  <c r="E26"/>
  <c r="J26"/>
  <c r="BH26" s="1"/>
  <c r="O26"/>
  <c r="T26"/>
  <c r="Y26"/>
  <c r="AD26"/>
  <c r="AE26"/>
  <c r="AI26"/>
  <c r="AJ26"/>
  <c r="AN26"/>
  <c r="AO26"/>
  <c r="AS26"/>
  <c r="AT26"/>
  <c r="AX26"/>
  <c r="AY26"/>
  <c r="BC26"/>
  <c r="BD26"/>
  <c r="BE26"/>
  <c r="DM26" s="1"/>
  <c r="BF26"/>
  <c r="BG26"/>
  <c r="BM26"/>
  <c r="DF26"/>
  <c r="BR26"/>
  <c r="BS26"/>
  <c r="BW26"/>
  <c r="CB26"/>
  <c r="CG26"/>
  <c r="CH26"/>
  <c r="CL26"/>
  <c r="CQ26"/>
  <c r="CR26"/>
  <c r="CV26"/>
  <c r="CW26"/>
  <c r="DC26"/>
  <c r="DD26"/>
  <c r="DE26"/>
  <c r="DK26"/>
  <c r="E27"/>
  <c r="J27"/>
  <c r="O27"/>
  <c r="T27"/>
  <c r="Y27"/>
  <c r="AD27"/>
  <c r="AE27"/>
  <c r="AI27"/>
  <c r="AJ27"/>
  <c r="AN27"/>
  <c r="AO27"/>
  <c r="AS27"/>
  <c r="AT27"/>
  <c r="AX27"/>
  <c r="AY27"/>
  <c r="BC27"/>
  <c r="BD27"/>
  <c r="BE27"/>
  <c r="BF27"/>
  <c r="DN27" s="1"/>
  <c r="BG27"/>
  <c r="DO27"/>
  <c r="BM27"/>
  <c r="BR27"/>
  <c r="BS27"/>
  <c r="BW27"/>
  <c r="CB27"/>
  <c r="CG27"/>
  <c r="CH27"/>
  <c r="CL27"/>
  <c r="CQ27"/>
  <c r="CR27"/>
  <c r="CV27"/>
  <c r="CW27"/>
  <c r="DC27"/>
  <c r="DD27"/>
  <c r="DE27"/>
  <c r="DM27"/>
  <c r="E28"/>
  <c r="J28"/>
  <c r="O28"/>
  <c r="T28"/>
  <c r="Y28"/>
  <c r="AD28"/>
  <c r="AE28"/>
  <c r="AI28"/>
  <c r="AJ28"/>
  <c r="AN28"/>
  <c r="AO28"/>
  <c r="AS28"/>
  <c r="AT28"/>
  <c r="AX28"/>
  <c r="AY28"/>
  <c r="BC28"/>
  <c r="BD28"/>
  <c r="BE28"/>
  <c r="BF28"/>
  <c r="BG28"/>
  <c r="DO28"/>
  <c r="BM28"/>
  <c r="BR28"/>
  <c r="BS28"/>
  <c r="BW28"/>
  <c r="CB28"/>
  <c r="CG28"/>
  <c r="CH28"/>
  <c r="CL28"/>
  <c r="CQ28"/>
  <c r="CR28"/>
  <c r="CV28"/>
  <c r="CW28"/>
  <c r="DC28"/>
  <c r="DM28" s="1"/>
  <c r="DD28"/>
  <c r="DN28" s="1"/>
  <c r="DE28"/>
  <c r="DK28"/>
  <c r="E29"/>
  <c r="J29"/>
  <c r="O29"/>
  <c r="T29"/>
  <c r="Y29"/>
  <c r="AD29"/>
  <c r="AE29"/>
  <c r="AI29"/>
  <c r="AJ29"/>
  <c r="AN29"/>
  <c r="AO29"/>
  <c r="AS29"/>
  <c r="AT29"/>
  <c r="AX29"/>
  <c r="AY29"/>
  <c r="BC29"/>
  <c r="BD29"/>
  <c r="BE29"/>
  <c r="BF29"/>
  <c r="BG29"/>
  <c r="DO29" s="1"/>
  <c r="BM29"/>
  <c r="BR29"/>
  <c r="BS29"/>
  <c r="BW29"/>
  <c r="CB29"/>
  <c r="CG29"/>
  <c r="CH29"/>
  <c r="CL29"/>
  <c r="CQ29"/>
  <c r="CR29"/>
  <c r="CV29"/>
  <c r="CW29"/>
  <c r="DC29"/>
  <c r="DD29"/>
  <c r="DN29" s="1"/>
  <c r="DE29"/>
  <c r="DK29"/>
  <c r="J30"/>
  <c r="W30"/>
  <c r="BF30" s="1"/>
  <c r="DN30" s="1"/>
  <c r="AD30"/>
  <c r="AE30"/>
  <c r="BI30" s="1"/>
  <c r="AI30"/>
  <c r="AJ30"/>
  <c r="AO30"/>
  <c r="AS30"/>
  <c r="AT30"/>
  <c r="AY30"/>
  <c r="BD30"/>
  <c r="BE30"/>
  <c r="BG30"/>
  <c r="BM30"/>
  <c r="BR30"/>
  <c r="BS30"/>
  <c r="BW30"/>
  <c r="CB30"/>
  <c r="CG30"/>
  <c r="CH30"/>
  <c r="CL30"/>
  <c r="CQ30"/>
  <c r="CR30"/>
  <c r="CV30"/>
  <c r="CW30"/>
  <c r="DC30"/>
  <c r="DD30"/>
  <c r="DE30"/>
  <c r="DK30"/>
  <c r="E31"/>
  <c r="J31"/>
  <c r="O31"/>
  <c r="T31"/>
  <c r="Y31"/>
  <c r="AD31"/>
  <c r="AE31"/>
  <c r="AI31"/>
  <c r="AJ31"/>
  <c r="AN31"/>
  <c r="AO31"/>
  <c r="AS31"/>
  <c r="AT31"/>
  <c r="AX31"/>
  <c r="AY31"/>
  <c r="BC31"/>
  <c r="BD31"/>
  <c r="BE31"/>
  <c r="DM31" s="1"/>
  <c r="BF31"/>
  <c r="DN31" s="1"/>
  <c r="BG31"/>
  <c r="BM31"/>
  <c r="BR31"/>
  <c r="BS31"/>
  <c r="BW31"/>
  <c r="CB31"/>
  <c r="CG31"/>
  <c r="CH31"/>
  <c r="CL31"/>
  <c r="CQ31"/>
  <c r="CR31"/>
  <c r="CV31"/>
  <c r="DF31"/>
  <c r="CW31"/>
  <c r="DC31"/>
  <c r="DD31"/>
  <c r="DE31"/>
  <c r="DK31"/>
  <c r="E32"/>
  <c r="J32"/>
  <c r="O32"/>
  <c r="T32"/>
  <c r="Y32"/>
  <c r="AD32"/>
  <c r="AE32"/>
  <c r="AI32"/>
  <c r="AJ32"/>
  <c r="AN32"/>
  <c r="AO32"/>
  <c r="AS32"/>
  <c r="AT32"/>
  <c r="AX32"/>
  <c r="AY32"/>
  <c r="BC32"/>
  <c r="BD32"/>
  <c r="BE32"/>
  <c r="BF32"/>
  <c r="BG32"/>
  <c r="BH32"/>
  <c r="BM32"/>
  <c r="BR32"/>
  <c r="BS32"/>
  <c r="BW32"/>
  <c r="CB32"/>
  <c r="CG32"/>
  <c r="CH32"/>
  <c r="CL32"/>
  <c r="CQ32"/>
  <c r="CR32"/>
  <c r="CV32"/>
  <c r="CW32"/>
  <c r="DC32"/>
  <c r="DD32"/>
  <c r="DE32"/>
  <c r="DK32"/>
  <c r="DM32"/>
  <c r="E33"/>
  <c r="J33"/>
  <c r="O33"/>
  <c r="T33"/>
  <c r="Y33"/>
  <c r="AD33"/>
  <c r="AE33"/>
  <c r="AI33"/>
  <c r="AJ33"/>
  <c r="AN33"/>
  <c r="AO33"/>
  <c r="AS33"/>
  <c r="AT33"/>
  <c r="AX33"/>
  <c r="AY33"/>
  <c r="BC33"/>
  <c r="BD33"/>
  <c r="BE33"/>
  <c r="BF33"/>
  <c r="DN33" s="1"/>
  <c r="BG33"/>
  <c r="DO33"/>
  <c r="BM33"/>
  <c r="BR33"/>
  <c r="BS33"/>
  <c r="DG33" s="1"/>
  <c r="BW33"/>
  <c r="CB33"/>
  <c r="CG33"/>
  <c r="CH33"/>
  <c r="CL33"/>
  <c r="CQ33"/>
  <c r="CR33"/>
  <c r="CV33"/>
  <c r="CW33"/>
  <c r="DC33"/>
  <c r="DD33"/>
  <c r="DE33"/>
  <c r="DM33"/>
  <c r="B34"/>
  <c r="C34"/>
  <c r="D34"/>
  <c r="F34"/>
  <c r="G34"/>
  <c r="H34"/>
  <c r="I34"/>
  <c r="K34"/>
  <c r="L34"/>
  <c r="L45"/>
  <c r="M34"/>
  <c r="N34"/>
  <c r="P34"/>
  <c r="Q34"/>
  <c r="R34"/>
  <c r="S34"/>
  <c r="U34"/>
  <c r="V34"/>
  <c r="X34"/>
  <c r="Z34"/>
  <c r="AA34"/>
  <c r="AB34"/>
  <c r="AC34"/>
  <c r="AF34"/>
  <c r="AG34"/>
  <c r="AH34"/>
  <c r="AK34"/>
  <c r="AL34"/>
  <c r="AM34"/>
  <c r="AP34"/>
  <c r="AQ34"/>
  <c r="AR34"/>
  <c r="AU34"/>
  <c r="AV34"/>
  <c r="AW34"/>
  <c r="AZ34"/>
  <c r="BA34"/>
  <c r="BB34"/>
  <c r="BJ34"/>
  <c r="BK34"/>
  <c r="BL34"/>
  <c r="BN34"/>
  <c r="BO34"/>
  <c r="BP34"/>
  <c r="BQ34"/>
  <c r="BT34"/>
  <c r="BU34"/>
  <c r="BV34"/>
  <c r="BX34"/>
  <c r="BY34"/>
  <c r="BZ34"/>
  <c r="CA34"/>
  <c r="CC34"/>
  <c r="CD34"/>
  <c r="CE34"/>
  <c r="CF34"/>
  <c r="CI34"/>
  <c r="CJ34"/>
  <c r="CK34"/>
  <c r="CM34"/>
  <c r="CN34"/>
  <c r="CO34"/>
  <c r="CP34"/>
  <c r="CS34"/>
  <c r="CT34"/>
  <c r="CU34"/>
  <c r="DA34"/>
  <c r="DH34"/>
  <c r="DI34"/>
  <c r="DJ34"/>
  <c r="DL34"/>
  <c r="E35"/>
  <c r="J35"/>
  <c r="O35"/>
  <c r="T35"/>
  <c r="Y35"/>
  <c r="Y44" s="1"/>
  <c r="AD35"/>
  <c r="AE35"/>
  <c r="AI35"/>
  <c r="AJ35"/>
  <c r="AN35"/>
  <c r="AO35"/>
  <c r="AS35"/>
  <c r="AT35"/>
  <c r="AX35"/>
  <c r="AY35"/>
  <c r="BC35"/>
  <c r="BC44" s="1"/>
  <c r="BD35"/>
  <c r="BE35"/>
  <c r="BF35"/>
  <c r="DN35" s="1"/>
  <c r="BG35"/>
  <c r="DO35" s="1"/>
  <c r="BM35"/>
  <c r="BR35"/>
  <c r="BS35"/>
  <c r="BW35"/>
  <c r="CB35"/>
  <c r="CG35"/>
  <c r="CH35"/>
  <c r="CH44" s="1"/>
  <c r="CL35"/>
  <c r="CL44" s="1"/>
  <c r="CQ35"/>
  <c r="CR35"/>
  <c r="CV35"/>
  <c r="CW35"/>
  <c r="DC35"/>
  <c r="DK35"/>
  <c r="DM35"/>
  <c r="E36"/>
  <c r="H36"/>
  <c r="O36"/>
  <c r="T36"/>
  <c r="T44" s="1"/>
  <c r="Y36"/>
  <c r="AD36"/>
  <c r="AE36"/>
  <c r="AI36"/>
  <c r="AI44" s="1"/>
  <c r="AJ36"/>
  <c r="AN36"/>
  <c r="AO36"/>
  <c r="AS36"/>
  <c r="AT36"/>
  <c r="AX36"/>
  <c r="AY36"/>
  <c r="BC36"/>
  <c r="BD36"/>
  <c r="BD44" s="1"/>
  <c r="BE36"/>
  <c r="BF36"/>
  <c r="DN36"/>
  <c r="BG36"/>
  <c r="BM36"/>
  <c r="BR36"/>
  <c r="BS36"/>
  <c r="DG36" s="1"/>
  <c r="BW36"/>
  <c r="CB36"/>
  <c r="CG36"/>
  <c r="CH36"/>
  <c r="CL36"/>
  <c r="CQ36"/>
  <c r="CR36"/>
  <c r="CV36"/>
  <c r="CW36"/>
  <c r="DC36"/>
  <c r="DD36"/>
  <c r="DE36"/>
  <c r="DE44" s="1"/>
  <c r="DK36"/>
  <c r="E37"/>
  <c r="J37"/>
  <c r="O37"/>
  <c r="T37"/>
  <c r="Y37"/>
  <c r="AD37"/>
  <c r="AE37"/>
  <c r="AI37"/>
  <c r="AJ37"/>
  <c r="AN37"/>
  <c r="AO37"/>
  <c r="AS37"/>
  <c r="AT37"/>
  <c r="AX37"/>
  <c r="AY37"/>
  <c r="BC37"/>
  <c r="BD37"/>
  <c r="BE37"/>
  <c r="BF37"/>
  <c r="BG37"/>
  <c r="BM37"/>
  <c r="BR37"/>
  <c r="BR44" s="1"/>
  <c r="BS37"/>
  <c r="BW37"/>
  <c r="CB37"/>
  <c r="CG37"/>
  <c r="CG44" s="1"/>
  <c r="CH37"/>
  <c r="CL37"/>
  <c r="CQ37"/>
  <c r="CR37"/>
  <c r="CV37"/>
  <c r="CW37"/>
  <c r="DC37"/>
  <c r="DD37"/>
  <c r="DE37"/>
  <c r="DO37" s="1"/>
  <c r="DK37"/>
  <c r="DN37"/>
  <c r="E38"/>
  <c r="BH38" s="1"/>
  <c r="J38"/>
  <c r="O38"/>
  <c r="T38"/>
  <c r="Y38"/>
  <c r="AD38"/>
  <c r="AE38"/>
  <c r="AI38"/>
  <c r="AJ38"/>
  <c r="AN38"/>
  <c r="AN44" s="1"/>
  <c r="AO38"/>
  <c r="AS38"/>
  <c r="AT38"/>
  <c r="AT44" s="1"/>
  <c r="AX38"/>
  <c r="AX44" s="1"/>
  <c r="AY38"/>
  <c r="BC38"/>
  <c r="BD38"/>
  <c r="BE38"/>
  <c r="BF38"/>
  <c r="DN38" s="1"/>
  <c r="BG38"/>
  <c r="BM38"/>
  <c r="BR38"/>
  <c r="BS38"/>
  <c r="BW38"/>
  <c r="CB38"/>
  <c r="CG38"/>
  <c r="CH38"/>
  <c r="CL38"/>
  <c r="CQ38"/>
  <c r="CR38"/>
  <c r="CV38"/>
  <c r="CW38"/>
  <c r="DC38"/>
  <c r="DM38" s="1"/>
  <c r="BO39" i="11" s="1"/>
  <c r="DD38" i="10"/>
  <c r="DE38"/>
  <c r="DK38"/>
  <c r="E39"/>
  <c r="J39"/>
  <c r="BH39" s="1"/>
  <c r="O39"/>
  <c r="T39"/>
  <c r="Y39"/>
  <c r="AD39"/>
  <c r="AD44" s="1"/>
  <c r="AD45" s="1"/>
  <c r="AE39"/>
  <c r="AI39"/>
  <c r="AJ39"/>
  <c r="AN39"/>
  <c r="AO39"/>
  <c r="AS39"/>
  <c r="AT39"/>
  <c r="AX39"/>
  <c r="AY39"/>
  <c r="BC39"/>
  <c r="BD39"/>
  <c r="BE39"/>
  <c r="BE44" s="1"/>
  <c r="BF39"/>
  <c r="BG39"/>
  <c r="BM39"/>
  <c r="BR39"/>
  <c r="BS39"/>
  <c r="BW39"/>
  <c r="CB39"/>
  <c r="CG39"/>
  <c r="CH39"/>
  <c r="CL39"/>
  <c r="CQ39"/>
  <c r="CR39"/>
  <c r="CV39"/>
  <c r="CW39"/>
  <c r="DC39"/>
  <c r="DD39"/>
  <c r="DE39"/>
  <c r="DK39"/>
  <c r="DM39"/>
  <c r="E40"/>
  <c r="J40"/>
  <c r="O40"/>
  <c r="T40"/>
  <c r="Y40"/>
  <c r="AD40"/>
  <c r="AE40"/>
  <c r="AI40"/>
  <c r="AJ40"/>
  <c r="AN40"/>
  <c r="AO40"/>
  <c r="AO44" s="1"/>
  <c r="AS40"/>
  <c r="AT40"/>
  <c r="AX40"/>
  <c r="AY40"/>
  <c r="BC40"/>
  <c r="BD40"/>
  <c r="BE40"/>
  <c r="DM40" s="1"/>
  <c r="BF40"/>
  <c r="DN40" s="1"/>
  <c r="BG40"/>
  <c r="BM40"/>
  <c r="DF40" s="1"/>
  <c r="BR40"/>
  <c r="BS40"/>
  <c r="CB40"/>
  <c r="CG40"/>
  <c r="CH40"/>
  <c r="CL40"/>
  <c r="CQ40"/>
  <c r="CR40"/>
  <c r="CV40"/>
  <c r="CW40"/>
  <c r="DC40"/>
  <c r="DD40"/>
  <c r="DE40"/>
  <c r="DK40"/>
  <c r="E41"/>
  <c r="E44" s="1"/>
  <c r="J41"/>
  <c r="O41"/>
  <c r="T41"/>
  <c r="Y41"/>
  <c r="AD41"/>
  <c r="AE41"/>
  <c r="AI41"/>
  <c r="AJ41"/>
  <c r="AN41"/>
  <c r="AO41"/>
  <c r="AS41"/>
  <c r="AT41"/>
  <c r="AX41"/>
  <c r="AY41"/>
  <c r="BC41"/>
  <c r="BD41"/>
  <c r="BE41"/>
  <c r="BF41"/>
  <c r="BG41"/>
  <c r="DO41" s="1"/>
  <c r="BQ42" i="11" s="1"/>
  <c r="BM41" i="10"/>
  <c r="BR41"/>
  <c r="BS41"/>
  <c r="BW41"/>
  <c r="CB41"/>
  <c r="CG41"/>
  <c r="CH41"/>
  <c r="CL41"/>
  <c r="CQ41"/>
  <c r="CR41"/>
  <c r="CV41"/>
  <c r="CW41"/>
  <c r="DC41"/>
  <c r="DD41"/>
  <c r="DN41" s="1"/>
  <c r="DE41"/>
  <c r="DK41"/>
  <c r="E42"/>
  <c r="J42"/>
  <c r="O42"/>
  <c r="T42"/>
  <c r="Y42"/>
  <c r="AD42"/>
  <c r="AE42"/>
  <c r="AI42"/>
  <c r="AJ42"/>
  <c r="AN42"/>
  <c r="AO42"/>
  <c r="AS42"/>
  <c r="AT42"/>
  <c r="AX42"/>
  <c r="AY42"/>
  <c r="BC42"/>
  <c r="BD42"/>
  <c r="BE42"/>
  <c r="BF42"/>
  <c r="DN42" s="1"/>
  <c r="BG42"/>
  <c r="DO42" s="1"/>
  <c r="BM42"/>
  <c r="BR42"/>
  <c r="BS42"/>
  <c r="BW42"/>
  <c r="CB42"/>
  <c r="CG42"/>
  <c r="CH42"/>
  <c r="CL42"/>
  <c r="CQ42"/>
  <c r="CR42"/>
  <c r="CV42"/>
  <c r="CW42"/>
  <c r="DC42"/>
  <c r="DD42"/>
  <c r="DE42"/>
  <c r="DK42"/>
  <c r="E43"/>
  <c r="J43"/>
  <c r="O43"/>
  <c r="T43"/>
  <c r="Y43"/>
  <c r="AD43"/>
  <c r="AE43"/>
  <c r="AI43"/>
  <c r="AJ43"/>
  <c r="AN43"/>
  <c r="AO43"/>
  <c r="AS43"/>
  <c r="AT43"/>
  <c r="AX43"/>
  <c r="AY43"/>
  <c r="BC43"/>
  <c r="BD43"/>
  <c r="BE43"/>
  <c r="BF43"/>
  <c r="BG43"/>
  <c r="BH43"/>
  <c r="BM43"/>
  <c r="BR43"/>
  <c r="BS43"/>
  <c r="BW43"/>
  <c r="CB43"/>
  <c r="CG43"/>
  <c r="CH43"/>
  <c r="CL43"/>
  <c r="CQ43"/>
  <c r="CR43"/>
  <c r="CV43"/>
  <c r="CW43"/>
  <c r="CW44" s="1"/>
  <c r="DC43"/>
  <c r="DD43"/>
  <c r="DE43"/>
  <c r="DK43"/>
  <c r="DM43"/>
  <c r="DN43"/>
  <c r="B44"/>
  <c r="B45" s="1"/>
  <c r="B60" s="1"/>
  <c r="C44"/>
  <c r="C45" s="1"/>
  <c r="C60" s="1"/>
  <c r="C106" s="1"/>
  <c r="D44"/>
  <c r="D45" s="1"/>
  <c r="F44"/>
  <c r="F45" s="1"/>
  <c r="F60" s="1"/>
  <c r="G44"/>
  <c r="G45" s="1"/>
  <c r="G60" s="1"/>
  <c r="H44"/>
  <c r="H45" s="1"/>
  <c r="I44"/>
  <c r="I45" s="1"/>
  <c r="I60" s="1"/>
  <c r="K44"/>
  <c r="L44"/>
  <c r="M44"/>
  <c r="M45" s="1"/>
  <c r="M60" s="1"/>
  <c r="N44"/>
  <c r="N45" s="1"/>
  <c r="N60" s="1"/>
  <c r="P44"/>
  <c r="P45" s="1"/>
  <c r="P60" s="1"/>
  <c r="Q44"/>
  <c r="Q45" s="1"/>
  <c r="Q60" s="1"/>
  <c r="R44"/>
  <c r="R45" s="1"/>
  <c r="R60" s="1"/>
  <c r="S44"/>
  <c r="S45" s="1"/>
  <c r="S60" s="1"/>
  <c r="U44"/>
  <c r="U45"/>
  <c r="V44"/>
  <c r="V45" s="1"/>
  <c r="V60" s="1"/>
  <c r="W44"/>
  <c r="X44"/>
  <c r="X45" s="1"/>
  <c r="X60" s="1"/>
  <c r="Z44"/>
  <c r="Z45" s="1"/>
  <c r="Z60" s="1"/>
  <c r="AA44"/>
  <c r="AA45" s="1"/>
  <c r="AA60" s="1"/>
  <c r="AA106" s="1"/>
  <c r="AB44"/>
  <c r="AB45" s="1"/>
  <c r="AB60" s="1"/>
  <c r="AC44"/>
  <c r="AF44"/>
  <c r="AF45" s="1"/>
  <c r="AG44"/>
  <c r="AG45" s="1"/>
  <c r="AG60" s="1"/>
  <c r="AH44"/>
  <c r="AH45" s="1"/>
  <c r="AH60" s="1"/>
  <c r="AK44"/>
  <c r="AK45" s="1"/>
  <c r="AK60" s="1"/>
  <c r="AL44"/>
  <c r="AM44"/>
  <c r="AM45" s="1"/>
  <c r="AP44"/>
  <c r="AP45" s="1"/>
  <c r="AP60" s="1"/>
  <c r="AQ44"/>
  <c r="AR44"/>
  <c r="AR45" s="1"/>
  <c r="AS44"/>
  <c r="AU44"/>
  <c r="AU45" s="1"/>
  <c r="AU60" s="1"/>
  <c r="AU106" s="1"/>
  <c r="AV44"/>
  <c r="AV45" s="1"/>
  <c r="AV60" s="1"/>
  <c r="AW44"/>
  <c r="AW45"/>
  <c r="AW60" s="1"/>
  <c r="AZ44"/>
  <c r="AZ45" s="1"/>
  <c r="BA44"/>
  <c r="BB44"/>
  <c r="BB45" s="1"/>
  <c r="BB60" s="1"/>
  <c r="BJ44"/>
  <c r="BJ45"/>
  <c r="BJ60" s="1"/>
  <c r="BK44"/>
  <c r="BK45" s="1"/>
  <c r="BK60" s="1"/>
  <c r="BL44"/>
  <c r="BL45" s="1"/>
  <c r="BL60" s="1"/>
  <c r="BN44"/>
  <c r="BN45" s="1"/>
  <c r="BN60" s="1"/>
  <c r="BO44"/>
  <c r="BO45" s="1"/>
  <c r="BP44"/>
  <c r="BP45" s="1"/>
  <c r="BQ44"/>
  <c r="BT44"/>
  <c r="BT45" s="1"/>
  <c r="BU44"/>
  <c r="BU45" s="1"/>
  <c r="BU60" s="1"/>
  <c r="BV44"/>
  <c r="BV45" s="1"/>
  <c r="BV60" s="1"/>
  <c r="BX44"/>
  <c r="BY44"/>
  <c r="BZ44"/>
  <c r="BZ45" s="1"/>
  <c r="BZ60" s="1"/>
  <c r="CA44"/>
  <c r="CA45" s="1"/>
  <c r="CA60" s="1"/>
  <c r="CC44"/>
  <c r="CC45"/>
  <c r="CD44"/>
  <c r="CE44"/>
  <c r="CE45" s="1"/>
  <c r="CE60" s="1"/>
  <c r="CF44"/>
  <c r="CF45" s="1"/>
  <c r="CF60" s="1"/>
  <c r="CI44"/>
  <c r="CI45" s="1"/>
  <c r="CI60" s="1"/>
  <c r="CJ44"/>
  <c r="CJ45" s="1"/>
  <c r="CJ60" s="1"/>
  <c r="CK44"/>
  <c r="CM44"/>
  <c r="CM45" s="1"/>
  <c r="CM60" s="1"/>
  <c r="CN44"/>
  <c r="CN45" s="1"/>
  <c r="CN60" s="1"/>
  <c r="CO44"/>
  <c r="CO45" s="1"/>
  <c r="CO60" s="1"/>
  <c r="CP44"/>
  <c r="CP45"/>
  <c r="CS44"/>
  <c r="CT44"/>
  <c r="CU44"/>
  <c r="CU45" s="1"/>
  <c r="CU60" s="1"/>
  <c r="DA44"/>
  <c r="DA45" s="1"/>
  <c r="DA60" s="1"/>
  <c r="DH44"/>
  <c r="DH45" s="1"/>
  <c r="DH60" s="1"/>
  <c r="DH106" s="1"/>
  <c r="DI44"/>
  <c r="DI45" s="1"/>
  <c r="DJ44"/>
  <c r="DJ45"/>
  <c r="DJ60" s="1"/>
  <c r="DL44"/>
  <c r="DL45" s="1"/>
  <c r="AC45"/>
  <c r="AL45"/>
  <c r="AL60" s="1"/>
  <c r="BA45"/>
  <c r="BQ45"/>
  <c r="BQ60" s="1"/>
  <c r="BY45"/>
  <c r="CD45"/>
  <c r="CD60" s="1"/>
  <c r="CS45"/>
  <c r="CS60" s="1"/>
  <c r="CT45"/>
  <c r="CT60"/>
  <c r="E46"/>
  <c r="J46"/>
  <c r="O46"/>
  <c r="T46"/>
  <c r="Y46"/>
  <c r="AD46"/>
  <c r="AI46"/>
  <c r="AN46"/>
  <c r="AS46"/>
  <c r="AX46"/>
  <c r="BC46"/>
  <c r="BF46"/>
  <c r="BG46"/>
  <c r="DO46" s="1"/>
  <c r="BM46"/>
  <c r="BR46"/>
  <c r="BW46"/>
  <c r="CB46"/>
  <c r="CG46"/>
  <c r="CL46"/>
  <c r="CQ46"/>
  <c r="CV46"/>
  <c r="DD46"/>
  <c r="DF46" s="1"/>
  <c r="DE46"/>
  <c r="DK46"/>
  <c r="E47"/>
  <c r="J47"/>
  <c r="O47"/>
  <c r="T47"/>
  <c r="Y47"/>
  <c r="AD47"/>
  <c r="AI47"/>
  <c r="AN47"/>
  <c r="AN59" s="1"/>
  <c r="AS47"/>
  <c r="AS59" s="1"/>
  <c r="AX47"/>
  <c r="BC47"/>
  <c r="BF47"/>
  <c r="BH47" s="1"/>
  <c r="BG47"/>
  <c r="BM47"/>
  <c r="BR47"/>
  <c r="BW47"/>
  <c r="CB47"/>
  <c r="CG47"/>
  <c r="CL47"/>
  <c r="CQ47"/>
  <c r="CV47"/>
  <c r="DD47"/>
  <c r="DE47"/>
  <c r="DO47" s="1"/>
  <c r="DK47"/>
  <c r="E48"/>
  <c r="J48"/>
  <c r="O48"/>
  <c r="T48"/>
  <c r="Y48"/>
  <c r="AD48"/>
  <c r="AE48"/>
  <c r="AI48"/>
  <c r="AJ48"/>
  <c r="AJ59" s="1"/>
  <c r="AN48"/>
  <c r="AO48"/>
  <c r="AS48"/>
  <c r="AT48"/>
  <c r="AX48"/>
  <c r="AY48"/>
  <c r="BC48"/>
  <c r="BD48"/>
  <c r="BD59" s="1"/>
  <c r="BE48"/>
  <c r="BF48"/>
  <c r="BG48"/>
  <c r="DO48" s="1"/>
  <c r="BM48"/>
  <c r="BR48"/>
  <c r="BS48"/>
  <c r="BW48"/>
  <c r="CB48"/>
  <c r="CG48"/>
  <c r="CH48"/>
  <c r="CL48"/>
  <c r="CQ48"/>
  <c r="CR48"/>
  <c r="CV48"/>
  <c r="CW48"/>
  <c r="DC48"/>
  <c r="DC59" s="1"/>
  <c r="DD48"/>
  <c r="DN48" s="1"/>
  <c r="BP49" i="11" s="1"/>
  <c r="C49" i="12" s="1"/>
  <c r="DE48" i="10"/>
  <c r="DK48"/>
  <c r="E49"/>
  <c r="J49"/>
  <c r="BH49" s="1"/>
  <c r="O49"/>
  <c r="T49"/>
  <c r="Y49"/>
  <c r="AD49"/>
  <c r="AE49"/>
  <c r="AI49"/>
  <c r="AJ49"/>
  <c r="AN49"/>
  <c r="AO49"/>
  <c r="AS49"/>
  <c r="AT49"/>
  <c r="AX49"/>
  <c r="AY49"/>
  <c r="BC49"/>
  <c r="BD49"/>
  <c r="BE49"/>
  <c r="BF49"/>
  <c r="DN49" s="1"/>
  <c r="BG49"/>
  <c r="BM49"/>
  <c r="BR49"/>
  <c r="BS49"/>
  <c r="BW49"/>
  <c r="CB49"/>
  <c r="CG49"/>
  <c r="CH49"/>
  <c r="CL49"/>
  <c r="CQ49"/>
  <c r="CR49"/>
  <c r="CV49"/>
  <c r="DF49" s="1"/>
  <c r="CW49"/>
  <c r="DC49"/>
  <c r="DM49" s="1"/>
  <c r="DD49"/>
  <c r="DE49"/>
  <c r="DK49"/>
  <c r="E50"/>
  <c r="J50"/>
  <c r="O50"/>
  <c r="T50"/>
  <c r="Y50"/>
  <c r="AD50"/>
  <c r="AE50"/>
  <c r="AI50"/>
  <c r="AJ50"/>
  <c r="AN50"/>
  <c r="AO50"/>
  <c r="AS50"/>
  <c r="AT50"/>
  <c r="AX50"/>
  <c r="AY50"/>
  <c r="BC50"/>
  <c r="BD50"/>
  <c r="BE50"/>
  <c r="BF50"/>
  <c r="BG50"/>
  <c r="BM50"/>
  <c r="BR50"/>
  <c r="BS50"/>
  <c r="BW50"/>
  <c r="CB50"/>
  <c r="CG50"/>
  <c r="CH50"/>
  <c r="CL50"/>
  <c r="CQ50"/>
  <c r="CR50"/>
  <c r="CV50"/>
  <c r="CW50"/>
  <c r="DC50"/>
  <c r="DM50" s="1"/>
  <c r="DD50"/>
  <c r="DE50"/>
  <c r="DK50"/>
  <c r="E51"/>
  <c r="J51"/>
  <c r="O51"/>
  <c r="T51"/>
  <c r="Y51"/>
  <c r="AD51"/>
  <c r="AE51"/>
  <c r="AI51"/>
  <c r="AJ51"/>
  <c r="AN51"/>
  <c r="AO51"/>
  <c r="AS51"/>
  <c r="AT51"/>
  <c r="AX51"/>
  <c r="AY51"/>
  <c r="BC51"/>
  <c r="BD51"/>
  <c r="BE51"/>
  <c r="DM51" s="1"/>
  <c r="BF51"/>
  <c r="BG51"/>
  <c r="DO51" s="1"/>
  <c r="BM51"/>
  <c r="BR51"/>
  <c r="BS51"/>
  <c r="BW51"/>
  <c r="CB51"/>
  <c r="CG51"/>
  <c r="CH51"/>
  <c r="CL51"/>
  <c r="CQ51"/>
  <c r="CR51"/>
  <c r="CV51"/>
  <c r="CW51"/>
  <c r="DC51"/>
  <c r="DD51"/>
  <c r="DN51" s="1"/>
  <c r="BP52" i="11" s="1"/>
  <c r="I46" i="5" s="1"/>
  <c r="DE51" i="10"/>
  <c r="DK51"/>
  <c r="E52"/>
  <c r="J52"/>
  <c r="O52"/>
  <c r="T52"/>
  <c r="Y52"/>
  <c r="AD52"/>
  <c r="AE52"/>
  <c r="AI52"/>
  <c r="AJ52"/>
  <c r="AN52"/>
  <c r="AO52"/>
  <c r="AS52"/>
  <c r="AT52"/>
  <c r="AX52"/>
  <c r="AY52"/>
  <c r="BC52"/>
  <c r="BD52"/>
  <c r="BE52"/>
  <c r="BF52"/>
  <c r="DN52" s="1"/>
  <c r="BP53" i="11" s="1"/>
  <c r="BG52" i="10"/>
  <c r="BM52"/>
  <c r="BR52"/>
  <c r="BS52"/>
  <c r="BW52"/>
  <c r="CB52"/>
  <c r="CG52"/>
  <c r="CH52"/>
  <c r="CL52"/>
  <c r="CQ52"/>
  <c r="CR52"/>
  <c r="CV52"/>
  <c r="DF52" s="1"/>
  <c r="CW52"/>
  <c r="DC52"/>
  <c r="DD52"/>
  <c r="DE52"/>
  <c r="DK52"/>
  <c r="DO52"/>
  <c r="E53"/>
  <c r="BH53" s="1"/>
  <c r="J53"/>
  <c r="O53"/>
  <c r="T53"/>
  <c r="Y53"/>
  <c r="AD53"/>
  <c r="AE53"/>
  <c r="AI53"/>
  <c r="AJ53"/>
  <c r="AN53"/>
  <c r="AO53"/>
  <c r="AS53"/>
  <c r="AT53"/>
  <c r="AX53"/>
  <c r="AY53"/>
  <c r="BC53"/>
  <c r="BD53"/>
  <c r="BE53"/>
  <c r="DM53" s="1"/>
  <c r="BF53"/>
  <c r="BG53"/>
  <c r="DO53" s="1"/>
  <c r="BM53"/>
  <c r="DF53" s="1"/>
  <c r="BR53"/>
  <c r="BS53"/>
  <c r="BW53"/>
  <c r="CB53"/>
  <c r="CG53"/>
  <c r="CH53"/>
  <c r="CL53"/>
  <c r="CQ53"/>
  <c r="CR53"/>
  <c r="CV53"/>
  <c r="CW53"/>
  <c r="DC53"/>
  <c r="DD53"/>
  <c r="DE53"/>
  <c r="DK53"/>
  <c r="DN53"/>
  <c r="E54"/>
  <c r="BH54" s="1"/>
  <c r="J54"/>
  <c r="O54"/>
  <c r="T54"/>
  <c r="Y54"/>
  <c r="AD54"/>
  <c r="AE54"/>
  <c r="AI54"/>
  <c r="AJ54"/>
  <c r="AN54"/>
  <c r="AO54"/>
  <c r="AS54"/>
  <c r="AT54"/>
  <c r="AX54"/>
  <c r="AY54"/>
  <c r="BC54"/>
  <c r="BD54"/>
  <c r="BE54"/>
  <c r="BF54"/>
  <c r="BG54"/>
  <c r="BM54"/>
  <c r="DF54" s="1"/>
  <c r="BR54"/>
  <c r="BS54"/>
  <c r="BW54"/>
  <c r="CB54"/>
  <c r="CG54"/>
  <c r="CH54"/>
  <c r="CL54"/>
  <c r="CQ54"/>
  <c r="CR54"/>
  <c r="CV54"/>
  <c r="CW54"/>
  <c r="DC54"/>
  <c r="DD54"/>
  <c r="DE54"/>
  <c r="DK54"/>
  <c r="DM54"/>
  <c r="E55"/>
  <c r="J55"/>
  <c r="O55"/>
  <c r="T55"/>
  <c r="Y55"/>
  <c r="AD55"/>
  <c r="BH55" s="1"/>
  <c r="AE55"/>
  <c r="AI55"/>
  <c r="AJ55"/>
  <c r="AN55"/>
  <c r="AO55"/>
  <c r="AS55"/>
  <c r="AT55"/>
  <c r="AX55"/>
  <c r="AY55"/>
  <c r="BC55"/>
  <c r="BD55"/>
  <c r="BE55"/>
  <c r="DM55" s="1"/>
  <c r="BF55"/>
  <c r="BG55"/>
  <c r="BM55"/>
  <c r="BR55"/>
  <c r="BS55"/>
  <c r="BW55"/>
  <c r="CB55"/>
  <c r="CG55"/>
  <c r="CH55"/>
  <c r="CL55"/>
  <c r="CQ55"/>
  <c r="CR55"/>
  <c r="CV55"/>
  <c r="CW55"/>
  <c r="DC55"/>
  <c r="DD55"/>
  <c r="DE55"/>
  <c r="DK55"/>
  <c r="DO55"/>
  <c r="E56"/>
  <c r="BH56" s="1"/>
  <c r="J56"/>
  <c r="O56"/>
  <c r="T56"/>
  <c r="Y56"/>
  <c r="AD56"/>
  <c r="AE56"/>
  <c r="AI56"/>
  <c r="AJ56"/>
  <c r="AN56"/>
  <c r="AO56"/>
  <c r="AS56"/>
  <c r="AT56"/>
  <c r="AX56"/>
  <c r="AY56"/>
  <c r="BC56"/>
  <c r="BD56"/>
  <c r="BE56"/>
  <c r="BF56"/>
  <c r="DN56" s="1"/>
  <c r="BP57" i="11" s="1"/>
  <c r="BG56" i="10"/>
  <c r="BM56"/>
  <c r="BR56"/>
  <c r="BS56"/>
  <c r="BW56"/>
  <c r="CB56"/>
  <c r="CG56"/>
  <c r="CH56"/>
  <c r="CL56"/>
  <c r="CQ56"/>
  <c r="CR56"/>
  <c r="CV56"/>
  <c r="CW56"/>
  <c r="DC56"/>
  <c r="DM56" s="1"/>
  <c r="DD56"/>
  <c r="DE56"/>
  <c r="DK56"/>
  <c r="DO56"/>
  <c r="E57"/>
  <c r="BH57" s="1"/>
  <c r="J57"/>
  <c r="O57"/>
  <c r="T57"/>
  <c r="Y57"/>
  <c r="AD57"/>
  <c r="AE57"/>
  <c r="AI57"/>
  <c r="AJ57"/>
  <c r="AN57"/>
  <c r="AO57"/>
  <c r="AS57"/>
  <c r="AT57"/>
  <c r="AX57"/>
  <c r="AY57"/>
  <c r="BC57"/>
  <c r="BD57"/>
  <c r="BE57"/>
  <c r="DM57" s="1"/>
  <c r="BF57"/>
  <c r="DN57" s="1"/>
  <c r="BG57"/>
  <c r="BM57"/>
  <c r="BR57"/>
  <c r="DF57" s="1"/>
  <c r="BS57"/>
  <c r="BW57"/>
  <c r="CB57"/>
  <c r="CG57"/>
  <c r="CH57"/>
  <c r="CL57"/>
  <c r="CQ57"/>
  <c r="CR57"/>
  <c r="CR59" s="1"/>
  <c r="CV57"/>
  <c r="CW57"/>
  <c r="DC57"/>
  <c r="DD57"/>
  <c r="DE57"/>
  <c r="DK57"/>
  <c r="E58"/>
  <c r="J58"/>
  <c r="O58"/>
  <c r="T58"/>
  <c r="Y58"/>
  <c r="AD58"/>
  <c r="AI58"/>
  <c r="AN58"/>
  <c r="AS58"/>
  <c r="AX58"/>
  <c r="BC58"/>
  <c r="BH58"/>
  <c r="BM58"/>
  <c r="BR58"/>
  <c r="BW58"/>
  <c r="CB58"/>
  <c r="CG58"/>
  <c r="CL58"/>
  <c r="CQ58"/>
  <c r="CV58"/>
  <c r="DF58"/>
  <c r="DK58"/>
  <c r="DN58"/>
  <c r="DP58" s="1"/>
  <c r="DO58"/>
  <c r="B59"/>
  <c r="C59"/>
  <c r="D59"/>
  <c r="F59"/>
  <c r="G59"/>
  <c r="H59"/>
  <c r="I59"/>
  <c r="K59"/>
  <c r="L59"/>
  <c r="L60" s="1"/>
  <c r="M59"/>
  <c r="N59"/>
  <c r="P59"/>
  <c r="Q59"/>
  <c r="R59"/>
  <c r="S59"/>
  <c r="U59"/>
  <c r="V59"/>
  <c r="W59"/>
  <c r="X59"/>
  <c r="Y59"/>
  <c r="Z59"/>
  <c r="AA59"/>
  <c r="AB59"/>
  <c r="AC59"/>
  <c r="AF59"/>
  <c r="AF60" s="1"/>
  <c r="AG59"/>
  <c r="AH59"/>
  <c r="AK59"/>
  <c r="AL59"/>
  <c r="AM59"/>
  <c r="AP59"/>
  <c r="AQ59"/>
  <c r="AR59"/>
  <c r="AR60" s="1"/>
  <c r="AU59"/>
  <c r="AV59"/>
  <c r="AW59"/>
  <c r="AZ59"/>
  <c r="AZ60" s="1"/>
  <c r="BA59"/>
  <c r="BA60" s="1"/>
  <c r="BB59"/>
  <c r="BJ59"/>
  <c r="BK59"/>
  <c r="BL59"/>
  <c r="BN59"/>
  <c r="BO59"/>
  <c r="BO60" s="1"/>
  <c r="BP59"/>
  <c r="BQ59"/>
  <c r="BT59"/>
  <c r="BT60" s="1"/>
  <c r="BU59"/>
  <c r="BV59"/>
  <c r="BX59"/>
  <c r="DD8"/>
  <c r="BY59"/>
  <c r="BZ59"/>
  <c r="CA59"/>
  <c r="CC59"/>
  <c r="CD59"/>
  <c r="CE59"/>
  <c r="CF59"/>
  <c r="CG59"/>
  <c r="CI59"/>
  <c r="CJ59"/>
  <c r="CK59"/>
  <c r="CM59"/>
  <c r="CN59"/>
  <c r="CO59"/>
  <c r="CP59"/>
  <c r="CP60" s="1"/>
  <c r="CS59"/>
  <c r="CT59"/>
  <c r="CU59"/>
  <c r="DA59"/>
  <c r="DH59"/>
  <c r="DI59"/>
  <c r="DI60" s="1"/>
  <c r="DJ59"/>
  <c r="DL59"/>
  <c r="DL60"/>
  <c r="AC60"/>
  <c r="AC106" s="1"/>
  <c r="BY60"/>
  <c r="E62"/>
  <c r="E76" s="1"/>
  <c r="J62"/>
  <c r="O62"/>
  <c r="T62"/>
  <c r="Y62"/>
  <c r="AD62"/>
  <c r="AI62"/>
  <c r="AN62"/>
  <c r="AS62"/>
  <c r="AS76" s="1"/>
  <c r="AX62"/>
  <c r="BC62"/>
  <c r="BF62"/>
  <c r="BG62"/>
  <c r="BM62"/>
  <c r="BR62"/>
  <c r="BW62"/>
  <c r="CB62"/>
  <c r="CG62"/>
  <c r="CL62"/>
  <c r="CQ62"/>
  <c r="CV62"/>
  <c r="DD62"/>
  <c r="DE62"/>
  <c r="DK62"/>
  <c r="DO62"/>
  <c r="E63"/>
  <c r="BH63" s="1"/>
  <c r="J63"/>
  <c r="O63"/>
  <c r="T63"/>
  <c r="Y63"/>
  <c r="AD63"/>
  <c r="AE63"/>
  <c r="AI63"/>
  <c r="AJ63"/>
  <c r="AN63"/>
  <c r="AO63"/>
  <c r="AS63"/>
  <c r="AT63"/>
  <c r="AX63"/>
  <c r="AY63"/>
  <c r="BC63"/>
  <c r="BD63"/>
  <c r="BE63"/>
  <c r="BF63"/>
  <c r="DN63"/>
  <c r="BG63"/>
  <c r="BM63"/>
  <c r="BR63"/>
  <c r="BS63"/>
  <c r="BW63"/>
  <c r="CB63"/>
  <c r="CG63"/>
  <c r="CH63"/>
  <c r="CL63"/>
  <c r="CQ63"/>
  <c r="CR63"/>
  <c r="CV63"/>
  <c r="CW63"/>
  <c r="DC63"/>
  <c r="DD63"/>
  <c r="DE63"/>
  <c r="DK63"/>
  <c r="DM63"/>
  <c r="E64"/>
  <c r="J64"/>
  <c r="O64"/>
  <c r="T64"/>
  <c r="BH64" s="1"/>
  <c r="Y64"/>
  <c r="AD64"/>
  <c r="AE64"/>
  <c r="AI64"/>
  <c r="AJ64"/>
  <c r="AN64"/>
  <c r="AO64"/>
  <c r="AO76" s="1"/>
  <c r="AS64"/>
  <c r="AT64"/>
  <c r="AX64"/>
  <c r="AY64"/>
  <c r="BC64"/>
  <c r="BD64"/>
  <c r="BE64"/>
  <c r="DM64" s="1"/>
  <c r="BF64"/>
  <c r="BG64"/>
  <c r="BM64"/>
  <c r="BR64"/>
  <c r="BS64"/>
  <c r="BW64"/>
  <c r="CB64"/>
  <c r="CG64"/>
  <c r="CH64"/>
  <c r="CL64"/>
  <c r="CQ64"/>
  <c r="CR64"/>
  <c r="CV64"/>
  <c r="CW64"/>
  <c r="DC64"/>
  <c r="DD64"/>
  <c r="DN64" s="1"/>
  <c r="DE64"/>
  <c r="DK64"/>
  <c r="E65"/>
  <c r="J65"/>
  <c r="O65"/>
  <c r="BH65" s="1"/>
  <c r="T65"/>
  <c r="Y65"/>
  <c r="AD65"/>
  <c r="AE65"/>
  <c r="AI65"/>
  <c r="AJ65"/>
  <c r="AN65"/>
  <c r="AO65"/>
  <c r="AS65"/>
  <c r="AT65"/>
  <c r="AX65"/>
  <c r="AY65"/>
  <c r="BC65"/>
  <c r="BD65"/>
  <c r="BE65"/>
  <c r="BF65"/>
  <c r="BG65"/>
  <c r="BM65"/>
  <c r="BR65"/>
  <c r="BS65"/>
  <c r="BW65"/>
  <c r="CB65"/>
  <c r="CG65"/>
  <c r="CH65"/>
  <c r="CL65"/>
  <c r="CQ65"/>
  <c r="CR65"/>
  <c r="CV65"/>
  <c r="CW65"/>
  <c r="DC65"/>
  <c r="DD65"/>
  <c r="DE65"/>
  <c r="DK65"/>
  <c r="DK76" s="1"/>
  <c r="DO65"/>
  <c r="E66"/>
  <c r="J66"/>
  <c r="O66"/>
  <c r="T66"/>
  <c r="Y66"/>
  <c r="AD66"/>
  <c r="AE66"/>
  <c r="AI66"/>
  <c r="AJ66"/>
  <c r="AN66"/>
  <c r="AO66"/>
  <c r="AS66"/>
  <c r="AT66"/>
  <c r="AX66"/>
  <c r="AY66"/>
  <c r="BC66"/>
  <c r="BD66"/>
  <c r="BE66"/>
  <c r="BF66"/>
  <c r="BG66"/>
  <c r="DO66" s="1"/>
  <c r="BM66"/>
  <c r="DF66" s="1"/>
  <c r="BR66"/>
  <c r="BS66"/>
  <c r="BW66"/>
  <c r="CB66"/>
  <c r="CG66"/>
  <c r="CH66"/>
  <c r="CL66"/>
  <c r="CQ66"/>
  <c r="CR66"/>
  <c r="CV66"/>
  <c r="CW66"/>
  <c r="DC66"/>
  <c r="DD66"/>
  <c r="DN66" s="1"/>
  <c r="DE66"/>
  <c r="DK66"/>
  <c r="E67"/>
  <c r="BH67" s="1"/>
  <c r="J67"/>
  <c r="O67"/>
  <c r="T67"/>
  <c r="Y67"/>
  <c r="AD67"/>
  <c r="AE67"/>
  <c r="AI67"/>
  <c r="AJ67"/>
  <c r="AN67"/>
  <c r="AO67"/>
  <c r="AS67"/>
  <c r="AT67"/>
  <c r="AX67"/>
  <c r="AY67"/>
  <c r="BC67"/>
  <c r="BD67"/>
  <c r="BE67"/>
  <c r="BF67"/>
  <c r="BG67"/>
  <c r="DO67" s="1"/>
  <c r="BM67"/>
  <c r="DF67" s="1"/>
  <c r="BR67"/>
  <c r="BW67"/>
  <c r="CB67"/>
  <c r="CG67"/>
  <c r="CH67"/>
  <c r="DG67" s="1"/>
  <c r="DG76" s="1"/>
  <c r="CL67"/>
  <c r="CQ67"/>
  <c r="CR67"/>
  <c r="CV67"/>
  <c r="CW67"/>
  <c r="DC67"/>
  <c r="DD67"/>
  <c r="DE67"/>
  <c r="DK67"/>
  <c r="DN67"/>
  <c r="E68"/>
  <c r="BH68" s="1"/>
  <c r="J68"/>
  <c r="O68"/>
  <c r="T68"/>
  <c r="Y68"/>
  <c r="AD68"/>
  <c r="AE68"/>
  <c r="AI68"/>
  <c r="AJ68"/>
  <c r="AN68"/>
  <c r="AO68"/>
  <c r="AS68"/>
  <c r="AT68"/>
  <c r="AX68"/>
  <c r="AY68"/>
  <c r="BC68"/>
  <c r="BD68"/>
  <c r="BE68"/>
  <c r="BF68"/>
  <c r="DN68"/>
  <c r="BG68"/>
  <c r="DO68" s="1"/>
  <c r="BQ69" i="11" s="1"/>
  <c r="J16" i="2" s="1"/>
  <c r="BM68" i="10"/>
  <c r="BR68"/>
  <c r="BS68"/>
  <c r="BW68"/>
  <c r="CB68"/>
  <c r="CG68"/>
  <c r="CH68"/>
  <c r="CL68"/>
  <c r="CQ68"/>
  <c r="CR68"/>
  <c r="CV68"/>
  <c r="CW68"/>
  <c r="DC68"/>
  <c r="DD68"/>
  <c r="DE68"/>
  <c r="DK68"/>
  <c r="E69"/>
  <c r="J69"/>
  <c r="BH69" s="1"/>
  <c r="O69"/>
  <c r="T69"/>
  <c r="Y69"/>
  <c r="AD69"/>
  <c r="AE69"/>
  <c r="AI69"/>
  <c r="AJ69"/>
  <c r="AN69"/>
  <c r="AO69"/>
  <c r="AS69"/>
  <c r="AT69"/>
  <c r="AX69"/>
  <c r="AY69"/>
  <c r="BC69"/>
  <c r="BD69"/>
  <c r="BE69"/>
  <c r="BF69"/>
  <c r="BG69"/>
  <c r="DO69"/>
  <c r="BM69"/>
  <c r="BR69"/>
  <c r="BS69"/>
  <c r="BW69"/>
  <c r="BW76" s="1"/>
  <c r="CB69"/>
  <c r="CG69"/>
  <c r="CH69"/>
  <c r="CL69"/>
  <c r="CQ69"/>
  <c r="CR69"/>
  <c r="CV69"/>
  <c r="CW69"/>
  <c r="CW76" s="1"/>
  <c r="DC69"/>
  <c r="DD69"/>
  <c r="DE69"/>
  <c r="DK69"/>
  <c r="DM69"/>
  <c r="E70"/>
  <c r="J70"/>
  <c r="O70"/>
  <c r="T70"/>
  <c r="Y70"/>
  <c r="AD70"/>
  <c r="AE70"/>
  <c r="AI70"/>
  <c r="AJ70"/>
  <c r="AN70"/>
  <c r="AO70"/>
  <c r="AS70"/>
  <c r="AT70"/>
  <c r="AX70"/>
  <c r="AY70"/>
  <c r="BC70"/>
  <c r="BD70"/>
  <c r="BE70"/>
  <c r="BF70"/>
  <c r="BG70"/>
  <c r="DO70" s="1"/>
  <c r="BM70"/>
  <c r="BR70"/>
  <c r="BS70"/>
  <c r="BW70"/>
  <c r="CB70"/>
  <c r="CG70"/>
  <c r="CH70"/>
  <c r="CL70"/>
  <c r="CQ70"/>
  <c r="CR70"/>
  <c r="CV70"/>
  <c r="CW70"/>
  <c r="DC70"/>
  <c r="DD70"/>
  <c r="DE70"/>
  <c r="DK70"/>
  <c r="DM70"/>
  <c r="E71"/>
  <c r="J71"/>
  <c r="O71"/>
  <c r="T71"/>
  <c r="Y71"/>
  <c r="AD71"/>
  <c r="AE71"/>
  <c r="AI71"/>
  <c r="AJ71"/>
  <c r="AN71"/>
  <c r="AO71"/>
  <c r="AS71"/>
  <c r="AT71"/>
  <c r="AX71"/>
  <c r="AY71"/>
  <c r="BC71"/>
  <c r="BD71"/>
  <c r="BE71"/>
  <c r="DM71" s="1"/>
  <c r="BF71"/>
  <c r="BG71"/>
  <c r="BM71"/>
  <c r="BR71"/>
  <c r="BS71"/>
  <c r="BW71"/>
  <c r="CB71"/>
  <c r="CG71"/>
  <c r="CH71"/>
  <c r="CL71"/>
  <c r="CQ71"/>
  <c r="CR71"/>
  <c r="CV71"/>
  <c r="CW71"/>
  <c r="DC71"/>
  <c r="DD71"/>
  <c r="DE71"/>
  <c r="DK71"/>
  <c r="DO71"/>
  <c r="E72"/>
  <c r="H72"/>
  <c r="O72"/>
  <c r="T72"/>
  <c r="BH72" s="1"/>
  <c r="Y72"/>
  <c r="AD72"/>
  <c r="AE72"/>
  <c r="BI72" s="1"/>
  <c r="DQ72" s="1"/>
  <c r="AI72"/>
  <c r="AJ72"/>
  <c r="AN72"/>
  <c r="AO72"/>
  <c r="AS72"/>
  <c r="AT72"/>
  <c r="AX72"/>
  <c r="AY72"/>
  <c r="BC72"/>
  <c r="BD72"/>
  <c r="BE72"/>
  <c r="BF72"/>
  <c r="BG72"/>
  <c r="DO72" s="1"/>
  <c r="BM72"/>
  <c r="BR72"/>
  <c r="BS72"/>
  <c r="BW72"/>
  <c r="BX72"/>
  <c r="CB72"/>
  <c r="CG72"/>
  <c r="DF72" s="1"/>
  <c r="CH72"/>
  <c r="CL72"/>
  <c r="CQ72"/>
  <c r="CR72"/>
  <c r="CV72"/>
  <c r="CW72"/>
  <c r="DC72"/>
  <c r="DM72" s="1"/>
  <c r="DD72"/>
  <c r="DE72"/>
  <c r="DK72"/>
  <c r="E73"/>
  <c r="J73"/>
  <c r="O73"/>
  <c r="T73"/>
  <c r="Y73"/>
  <c r="AD73"/>
  <c r="AE73"/>
  <c r="AI73"/>
  <c r="AJ73"/>
  <c r="AN73"/>
  <c r="AO73"/>
  <c r="AS73"/>
  <c r="AT73"/>
  <c r="AX73"/>
  <c r="AY73"/>
  <c r="BC73"/>
  <c r="BD73"/>
  <c r="BE73"/>
  <c r="BF73"/>
  <c r="BG73"/>
  <c r="DO73" s="1"/>
  <c r="BM73"/>
  <c r="BR73"/>
  <c r="BS73"/>
  <c r="BW73"/>
  <c r="CB73"/>
  <c r="CG73"/>
  <c r="CH73"/>
  <c r="CL73"/>
  <c r="CQ73"/>
  <c r="CR73"/>
  <c r="CV73"/>
  <c r="CW73"/>
  <c r="DC73"/>
  <c r="DD73"/>
  <c r="DE73"/>
  <c r="DK73"/>
  <c r="DM73"/>
  <c r="E74"/>
  <c r="J74"/>
  <c r="O74"/>
  <c r="T74"/>
  <c r="Y74"/>
  <c r="AD74"/>
  <c r="AE74"/>
  <c r="AI74"/>
  <c r="AJ74"/>
  <c r="AN74"/>
  <c r="AO74"/>
  <c r="AS74"/>
  <c r="AT74"/>
  <c r="AX74"/>
  <c r="AY74"/>
  <c r="BC74"/>
  <c r="BD74"/>
  <c r="BE74"/>
  <c r="DM74" s="1"/>
  <c r="BF74"/>
  <c r="BG74"/>
  <c r="DO74" s="1"/>
  <c r="BM74"/>
  <c r="BR74"/>
  <c r="BS74"/>
  <c r="BW74"/>
  <c r="CB74"/>
  <c r="CG74"/>
  <c r="CH74"/>
  <c r="CL74"/>
  <c r="CQ74"/>
  <c r="CR74"/>
  <c r="CV74"/>
  <c r="CW74"/>
  <c r="DC74"/>
  <c r="DD74"/>
  <c r="DE74"/>
  <c r="DK74"/>
  <c r="E75"/>
  <c r="J75"/>
  <c r="O75"/>
  <c r="BH75" s="1"/>
  <c r="T75"/>
  <c r="Y75"/>
  <c r="AD75"/>
  <c r="AE75"/>
  <c r="AI75"/>
  <c r="AJ75"/>
  <c r="AN75"/>
  <c r="AO75"/>
  <c r="AS75"/>
  <c r="AT75"/>
  <c r="AX75"/>
  <c r="AY75"/>
  <c r="BC75"/>
  <c r="BD75"/>
  <c r="BE75"/>
  <c r="BF75"/>
  <c r="BG75"/>
  <c r="DO75" s="1"/>
  <c r="BM75"/>
  <c r="BR75"/>
  <c r="BS75"/>
  <c r="BW75"/>
  <c r="CB75"/>
  <c r="CG75"/>
  <c r="CH75"/>
  <c r="CL75"/>
  <c r="CQ75"/>
  <c r="CR75"/>
  <c r="CV75"/>
  <c r="CW75"/>
  <c r="DC75"/>
  <c r="DD75"/>
  <c r="DE75"/>
  <c r="DK75"/>
  <c r="DM75"/>
  <c r="B76"/>
  <c r="C76"/>
  <c r="D76"/>
  <c r="D86"/>
  <c r="D104" s="1"/>
  <c r="F76"/>
  <c r="G76"/>
  <c r="H76"/>
  <c r="I76"/>
  <c r="I86"/>
  <c r="K76"/>
  <c r="L76"/>
  <c r="M76"/>
  <c r="N76"/>
  <c r="P76"/>
  <c r="Q76"/>
  <c r="R76"/>
  <c r="S76"/>
  <c r="U76"/>
  <c r="V76"/>
  <c r="W76"/>
  <c r="W86" s="1"/>
  <c r="W104" s="1"/>
  <c r="X76"/>
  <c r="Z76"/>
  <c r="AA76"/>
  <c r="AA86" s="1"/>
  <c r="AA104" s="1"/>
  <c r="AB76"/>
  <c r="AC76"/>
  <c r="AC86"/>
  <c r="AF76"/>
  <c r="AG76"/>
  <c r="AH76"/>
  <c r="AK76"/>
  <c r="AL76"/>
  <c r="AM76"/>
  <c r="AM86" s="1"/>
  <c r="AM104" s="1"/>
  <c r="AP76"/>
  <c r="AQ76"/>
  <c r="AR76"/>
  <c r="AU76"/>
  <c r="AV76"/>
  <c r="AW76"/>
  <c r="AZ76"/>
  <c r="BA76"/>
  <c r="BB76"/>
  <c r="BJ76"/>
  <c r="BK76"/>
  <c r="BL76"/>
  <c r="BL86"/>
  <c r="BN76"/>
  <c r="BO76"/>
  <c r="BP76"/>
  <c r="BQ76"/>
  <c r="BT76"/>
  <c r="BU76"/>
  <c r="BV76"/>
  <c r="BX76"/>
  <c r="BY76"/>
  <c r="BY86"/>
  <c r="BZ76"/>
  <c r="CA76"/>
  <c r="CC76"/>
  <c r="CC86"/>
  <c r="CD76"/>
  <c r="CE76"/>
  <c r="CF76"/>
  <c r="CI76"/>
  <c r="CJ76"/>
  <c r="CK76"/>
  <c r="CM76"/>
  <c r="CN76"/>
  <c r="CO76"/>
  <c r="CP76"/>
  <c r="CS76"/>
  <c r="CT76"/>
  <c r="CU76"/>
  <c r="DA76"/>
  <c r="DH76"/>
  <c r="DI76"/>
  <c r="DJ76"/>
  <c r="DL76"/>
  <c r="E77"/>
  <c r="BH77" s="1"/>
  <c r="J77"/>
  <c r="O77"/>
  <c r="T77"/>
  <c r="Y77"/>
  <c r="AD77"/>
  <c r="AE77"/>
  <c r="AI77"/>
  <c r="AJ77"/>
  <c r="AN77"/>
  <c r="AO77"/>
  <c r="AS77"/>
  <c r="AT77"/>
  <c r="AX77"/>
  <c r="AY77"/>
  <c r="BC77"/>
  <c r="BD77"/>
  <c r="BE77"/>
  <c r="DM77"/>
  <c r="BF77"/>
  <c r="BG77"/>
  <c r="BM77"/>
  <c r="BR77"/>
  <c r="BR85" s="1"/>
  <c r="BS77"/>
  <c r="BW77"/>
  <c r="CB77"/>
  <c r="CG77"/>
  <c r="CH77"/>
  <c r="CL77"/>
  <c r="CQ77"/>
  <c r="CR77"/>
  <c r="CV77"/>
  <c r="CW77"/>
  <c r="DC77"/>
  <c r="DD77"/>
  <c r="DE77"/>
  <c r="DO77" s="1"/>
  <c r="DK77"/>
  <c r="E78"/>
  <c r="J78"/>
  <c r="O78"/>
  <c r="T78"/>
  <c r="Y78"/>
  <c r="AD78"/>
  <c r="AE78"/>
  <c r="AI78"/>
  <c r="AJ78"/>
  <c r="AN78"/>
  <c r="AN85" s="1"/>
  <c r="AO78"/>
  <c r="AS78"/>
  <c r="AT78"/>
  <c r="AX78"/>
  <c r="AY78"/>
  <c r="BC78"/>
  <c r="BD78"/>
  <c r="BE78"/>
  <c r="BF78"/>
  <c r="BG78"/>
  <c r="BM78"/>
  <c r="BR78"/>
  <c r="BS78"/>
  <c r="BW78"/>
  <c r="DF78" s="1"/>
  <c r="CB78"/>
  <c r="CG78"/>
  <c r="CH78"/>
  <c r="CL78"/>
  <c r="CL85" s="1"/>
  <c r="CQ78"/>
  <c r="CR78"/>
  <c r="CV78"/>
  <c r="CW78"/>
  <c r="DC78"/>
  <c r="DD78"/>
  <c r="DE78"/>
  <c r="DK78"/>
  <c r="DN78"/>
  <c r="DO78"/>
  <c r="E79"/>
  <c r="J79"/>
  <c r="O79"/>
  <c r="O85" s="1"/>
  <c r="T79"/>
  <c r="Y79"/>
  <c r="AD79"/>
  <c r="AE79"/>
  <c r="BI79" s="1"/>
  <c r="AI79"/>
  <c r="AJ79"/>
  <c r="AN79"/>
  <c r="AO79"/>
  <c r="AS79"/>
  <c r="AT79"/>
  <c r="AX79"/>
  <c r="AY79"/>
  <c r="BC79"/>
  <c r="BD79"/>
  <c r="BE79"/>
  <c r="BF79"/>
  <c r="BG79"/>
  <c r="BM79"/>
  <c r="BR79"/>
  <c r="BS79"/>
  <c r="BW79"/>
  <c r="DF79" s="1"/>
  <c r="CB79"/>
  <c r="CG79"/>
  <c r="CH79"/>
  <c r="CH85" s="1"/>
  <c r="CL79"/>
  <c r="CQ79"/>
  <c r="CR79"/>
  <c r="CV79"/>
  <c r="CW79"/>
  <c r="DC79"/>
  <c r="DM79" s="1"/>
  <c r="BO80" i="11" s="1"/>
  <c r="DD79" i="10"/>
  <c r="DE79"/>
  <c r="DK79"/>
  <c r="DN79"/>
  <c r="E80"/>
  <c r="J80"/>
  <c r="O80"/>
  <c r="T80"/>
  <c r="BH80" s="1"/>
  <c r="Y80"/>
  <c r="AD80"/>
  <c r="AE80"/>
  <c r="AI80"/>
  <c r="AJ80"/>
  <c r="AN80"/>
  <c r="AO80"/>
  <c r="AS80"/>
  <c r="AT80"/>
  <c r="AX80"/>
  <c r="AY80"/>
  <c r="BC80"/>
  <c r="BD80"/>
  <c r="BE80"/>
  <c r="BF80"/>
  <c r="BG80"/>
  <c r="BM80"/>
  <c r="BR80"/>
  <c r="BS80"/>
  <c r="BW80"/>
  <c r="CB80"/>
  <c r="CG80"/>
  <c r="CH80"/>
  <c r="CL80"/>
  <c r="CQ80"/>
  <c r="CR80"/>
  <c r="CV80"/>
  <c r="CW80"/>
  <c r="DC80"/>
  <c r="DD80"/>
  <c r="DE80"/>
  <c r="DK80"/>
  <c r="DM80"/>
  <c r="E81"/>
  <c r="J81"/>
  <c r="O81"/>
  <c r="T81"/>
  <c r="Y81"/>
  <c r="AD81"/>
  <c r="AE81"/>
  <c r="AI81"/>
  <c r="AJ81"/>
  <c r="AN81"/>
  <c r="AO81"/>
  <c r="AS81"/>
  <c r="AT81"/>
  <c r="AX81"/>
  <c r="AY81"/>
  <c r="BC81"/>
  <c r="BD81"/>
  <c r="BE81"/>
  <c r="BF81"/>
  <c r="DN81"/>
  <c r="BG81"/>
  <c r="DO81" s="1"/>
  <c r="BM81"/>
  <c r="BR81"/>
  <c r="BS81"/>
  <c r="BW81"/>
  <c r="CB81"/>
  <c r="CG81"/>
  <c r="CH81"/>
  <c r="CL81"/>
  <c r="CQ81"/>
  <c r="CR81"/>
  <c r="CV81"/>
  <c r="CW81"/>
  <c r="DC81"/>
  <c r="DM81"/>
  <c r="DD81"/>
  <c r="DE81"/>
  <c r="DK81"/>
  <c r="E82"/>
  <c r="J82"/>
  <c r="O82"/>
  <c r="T82"/>
  <c r="Y82"/>
  <c r="AD82"/>
  <c r="AD85" s="1"/>
  <c r="AE82"/>
  <c r="AI82"/>
  <c r="AJ82"/>
  <c r="AN82"/>
  <c r="AO82"/>
  <c r="AS82"/>
  <c r="AT82"/>
  <c r="AT85" s="1"/>
  <c r="AX82"/>
  <c r="AY82"/>
  <c r="BC82"/>
  <c r="BD82"/>
  <c r="BE82"/>
  <c r="DM82" s="1"/>
  <c r="BF82"/>
  <c r="BG82"/>
  <c r="BH82"/>
  <c r="BM82"/>
  <c r="DF82" s="1"/>
  <c r="BR82"/>
  <c r="BS82"/>
  <c r="BW82"/>
  <c r="CB82"/>
  <c r="CG82"/>
  <c r="CH82"/>
  <c r="CL82"/>
  <c r="CQ82"/>
  <c r="CR82"/>
  <c r="CV82"/>
  <c r="CV85" s="1"/>
  <c r="CW82"/>
  <c r="DC82"/>
  <c r="DD82"/>
  <c r="DE82"/>
  <c r="DK82"/>
  <c r="E83"/>
  <c r="J83"/>
  <c r="BH83" s="1"/>
  <c r="O83"/>
  <c r="T83"/>
  <c r="Y83"/>
  <c r="AD83"/>
  <c r="AE83"/>
  <c r="AI83"/>
  <c r="AJ83"/>
  <c r="AN83"/>
  <c r="AO83"/>
  <c r="AS83"/>
  <c r="AT83"/>
  <c r="AX83"/>
  <c r="AY83"/>
  <c r="BC83"/>
  <c r="BD83"/>
  <c r="BE83"/>
  <c r="BF83"/>
  <c r="BG83"/>
  <c r="BM83"/>
  <c r="BR83"/>
  <c r="BS83"/>
  <c r="BW83"/>
  <c r="CB83"/>
  <c r="CG83"/>
  <c r="CH83"/>
  <c r="CL83"/>
  <c r="CQ83"/>
  <c r="CR83"/>
  <c r="CV83"/>
  <c r="CW83"/>
  <c r="DC83"/>
  <c r="DD83"/>
  <c r="DE83"/>
  <c r="DK83"/>
  <c r="DO83"/>
  <c r="E84"/>
  <c r="J84"/>
  <c r="O84"/>
  <c r="T84"/>
  <c r="Y84"/>
  <c r="AD84"/>
  <c r="AE84"/>
  <c r="AI84"/>
  <c r="AJ84"/>
  <c r="AN84"/>
  <c r="AO84"/>
  <c r="AS84"/>
  <c r="AT84"/>
  <c r="AX84"/>
  <c r="AY84"/>
  <c r="BC84"/>
  <c r="BD84"/>
  <c r="BE84"/>
  <c r="BF84"/>
  <c r="DN84"/>
  <c r="BG84"/>
  <c r="DO84" s="1"/>
  <c r="BM84"/>
  <c r="BR84"/>
  <c r="BS84"/>
  <c r="BW84"/>
  <c r="CB84"/>
  <c r="CG84"/>
  <c r="CH84"/>
  <c r="CL84"/>
  <c r="CQ84"/>
  <c r="CR84"/>
  <c r="CV84"/>
  <c r="CW84"/>
  <c r="DC84"/>
  <c r="DD84"/>
  <c r="DE84"/>
  <c r="DK84"/>
  <c r="B85"/>
  <c r="B86"/>
  <c r="B104" s="1"/>
  <c r="C85"/>
  <c r="C86"/>
  <c r="C104"/>
  <c r="D85"/>
  <c r="F85"/>
  <c r="G85"/>
  <c r="H85"/>
  <c r="H86" s="1"/>
  <c r="I85"/>
  <c r="K85"/>
  <c r="K86"/>
  <c r="L85"/>
  <c r="L86" s="1"/>
  <c r="M85"/>
  <c r="M86" s="1"/>
  <c r="N85"/>
  <c r="P85"/>
  <c r="P86" s="1"/>
  <c r="Q85"/>
  <c r="Q86" s="1"/>
  <c r="Q104" s="1"/>
  <c r="R85"/>
  <c r="R86"/>
  <c r="S85"/>
  <c r="S86" s="1"/>
  <c r="S104" s="1"/>
  <c r="U85"/>
  <c r="U86" s="1"/>
  <c r="V85"/>
  <c r="W85"/>
  <c r="X85"/>
  <c r="X86" s="1"/>
  <c r="Z85"/>
  <c r="Z86" s="1"/>
  <c r="AA85"/>
  <c r="AB85"/>
  <c r="AB86" s="1"/>
  <c r="AC85"/>
  <c r="AF85"/>
  <c r="AF86" s="1"/>
  <c r="AF104" s="1"/>
  <c r="AG85"/>
  <c r="AG86" s="1"/>
  <c r="AG104" s="1"/>
  <c r="AH85"/>
  <c r="AH86" s="1"/>
  <c r="AH104" s="1"/>
  <c r="AK85"/>
  <c r="AK86" s="1"/>
  <c r="AK104" s="1"/>
  <c r="AL85"/>
  <c r="AL86" s="1"/>
  <c r="AL104" s="1"/>
  <c r="AM85"/>
  <c r="AP85"/>
  <c r="AQ85"/>
  <c r="AR85"/>
  <c r="AR86" s="1"/>
  <c r="AU85"/>
  <c r="AV85"/>
  <c r="AV86" s="1"/>
  <c r="AW85"/>
  <c r="AW86" s="1"/>
  <c r="AW104" s="1"/>
  <c r="AX85"/>
  <c r="AZ85"/>
  <c r="AZ86" s="1"/>
  <c r="AZ104" s="1"/>
  <c r="BA85"/>
  <c r="BA86" s="1"/>
  <c r="BA104" s="1"/>
  <c r="BB85"/>
  <c r="BB86" s="1"/>
  <c r="BB104" s="1"/>
  <c r="BJ85"/>
  <c r="BK85"/>
  <c r="BK86" s="1"/>
  <c r="BK104" s="1"/>
  <c r="BL85"/>
  <c r="BN85"/>
  <c r="BN86"/>
  <c r="BO85"/>
  <c r="BO86" s="1"/>
  <c r="BO104" s="1"/>
  <c r="BP85"/>
  <c r="BP86" s="1"/>
  <c r="BP104" s="1"/>
  <c r="BQ85"/>
  <c r="BQ86" s="1"/>
  <c r="BQ104" s="1"/>
  <c r="BT85"/>
  <c r="BT86" s="1"/>
  <c r="BU85"/>
  <c r="BU86" s="1"/>
  <c r="BU104" s="1"/>
  <c r="BV85"/>
  <c r="BV86" s="1"/>
  <c r="BV104" s="1"/>
  <c r="BW85"/>
  <c r="BW86" s="1"/>
  <c r="BX85"/>
  <c r="BY85"/>
  <c r="BZ85"/>
  <c r="BZ86" s="1"/>
  <c r="BZ104" s="1"/>
  <c r="CA85"/>
  <c r="CA86" s="1"/>
  <c r="CA104" s="1"/>
  <c r="CC85"/>
  <c r="CD85"/>
  <c r="CD86"/>
  <c r="CE85"/>
  <c r="CE86" s="1"/>
  <c r="CE104" s="1"/>
  <c r="CF85"/>
  <c r="CF86" s="1"/>
  <c r="CI85"/>
  <c r="CI86" s="1"/>
  <c r="CI104" s="1"/>
  <c r="CJ85"/>
  <c r="CJ86" s="1"/>
  <c r="CJ104" s="1"/>
  <c r="CK85"/>
  <c r="CK86" s="1"/>
  <c r="CK104" s="1"/>
  <c r="CM85"/>
  <c r="CM86" s="1"/>
  <c r="CN85"/>
  <c r="CN86" s="1"/>
  <c r="CO85"/>
  <c r="CO86" s="1"/>
  <c r="CO104" s="1"/>
  <c r="CP85"/>
  <c r="CP86" s="1"/>
  <c r="CP104" s="1"/>
  <c r="CS85"/>
  <c r="CS86" s="1"/>
  <c r="CS104" s="1"/>
  <c r="CT85"/>
  <c r="CT86" s="1"/>
  <c r="CT104" s="1"/>
  <c r="CU85"/>
  <c r="DA85"/>
  <c r="DA86" s="1"/>
  <c r="DA104" s="1"/>
  <c r="DH85"/>
  <c r="DH86" s="1"/>
  <c r="DH104" s="1"/>
  <c r="DI85"/>
  <c r="DI86" s="1"/>
  <c r="DJ85"/>
  <c r="DJ86" s="1"/>
  <c r="DJ104" s="1"/>
  <c r="DL85"/>
  <c r="DL86" s="1"/>
  <c r="F86"/>
  <c r="G86"/>
  <c r="G104" s="1"/>
  <c r="N86"/>
  <c r="V86"/>
  <c r="V104" s="1"/>
  <c r="AP86"/>
  <c r="AP104" s="1"/>
  <c r="AQ86"/>
  <c r="AQ104" s="1"/>
  <c r="AU86"/>
  <c r="AU104"/>
  <c r="BJ86"/>
  <c r="CU86"/>
  <c r="CU104" s="1"/>
  <c r="E87"/>
  <c r="J87"/>
  <c r="O87"/>
  <c r="T87"/>
  <c r="Y87"/>
  <c r="AD87"/>
  <c r="AI87"/>
  <c r="AN87"/>
  <c r="AS87"/>
  <c r="AX87"/>
  <c r="AX103" s="1"/>
  <c r="BC87"/>
  <c r="BH87"/>
  <c r="BM87"/>
  <c r="BR87"/>
  <c r="BR103" s="1"/>
  <c r="BW87"/>
  <c r="CB87"/>
  <c r="CB103" s="1"/>
  <c r="CG87"/>
  <c r="CL87"/>
  <c r="CQ87"/>
  <c r="CV87"/>
  <c r="DF87"/>
  <c r="DK87"/>
  <c r="DN87"/>
  <c r="DP87" s="1"/>
  <c r="DO87"/>
  <c r="E88"/>
  <c r="J88"/>
  <c r="J103" s="1"/>
  <c r="O88"/>
  <c r="T88"/>
  <c r="Y88"/>
  <c r="AD88"/>
  <c r="AD103" s="1"/>
  <c r="AI88"/>
  <c r="AN88"/>
  <c r="AS88"/>
  <c r="AX88"/>
  <c r="BC88"/>
  <c r="BF88"/>
  <c r="BG88"/>
  <c r="BM88"/>
  <c r="BR88"/>
  <c r="BW88"/>
  <c r="CB88"/>
  <c r="CG88"/>
  <c r="CG103" s="1"/>
  <c r="CL88"/>
  <c r="CL103" s="1"/>
  <c r="CQ88"/>
  <c r="CV88"/>
  <c r="DD88"/>
  <c r="DF88" s="1"/>
  <c r="DE88"/>
  <c r="DK88"/>
  <c r="E89"/>
  <c r="F89"/>
  <c r="F103" s="1"/>
  <c r="F104" s="1"/>
  <c r="J89"/>
  <c r="K89"/>
  <c r="O89"/>
  <c r="P89"/>
  <c r="T89"/>
  <c r="U89"/>
  <c r="Y89"/>
  <c r="Z89"/>
  <c r="AD89"/>
  <c r="AE89"/>
  <c r="AI89"/>
  <c r="AJ89"/>
  <c r="AN89"/>
  <c r="AO89"/>
  <c r="AS89"/>
  <c r="AT89"/>
  <c r="AX89"/>
  <c r="AY89"/>
  <c r="BC89"/>
  <c r="BD89"/>
  <c r="BE89"/>
  <c r="DM89" s="1"/>
  <c r="BF89"/>
  <c r="BH89" s="1"/>
  <c r="BG89"/>
  <c r="BI89"/>
  <c r="BM89"/>
  <c r="BN89"/>
  <c r="BR89"/>
  <c r="BS89"/>
  <c r="BW89"/>
  <c r="BX89"/>
  <c r="CB89"/>
  <c r="CC89"/>
  <c r="CG89"/>
  <c r="CH89"/>
  <c r="CL89"/>
  <c r="CM89"/>
  <c r="CQ89"/>
  <c r="CR89"/>
  <c r="CV89"/>
  <c r="CW89"/>
  <c r="DC89"/>
  <c r="DG89" s="1"/>
  <c r="DD89"/>
  <c r="DE89"/>
  <c r="DO89"/>
  <c r="DF89"/>
  <c r="DK89"/>
  <c r="DL89"/>
  <c r="DL103" s="1"/>
  <c r="E90"/>
  <c r="F90"/>
  <c r="J90"/>
  <c r="K90"/>
  <c r="O90"/>
  <c r="P90"/>
  <c r="T90"/>
  <c r="U90"/>
  <c r="Y90"/>
  <c r="Z90"/>
  <c r="Z103" s="1"/>
  <c r="AD90"/>
  <c r="AE90"/>
  <c r="AI90"/>
  <c r="AJ90"/>
  <c r="AN90"/>
  <c r="AO90"/>
  <c r="AS90"/>
  <c r="AT90"/>
  <c r="AX90"/>
  <c r="AY90"/>
  <c r="BC90"/>
  <c r="BD90"/>
  <c r="BE90"/>
  <c r="DM90" s="1"/>
  <c r="BF90"/>
  <c r="DN90" s="1"/>
  <c r="BG90"/>
  <c r="BM90"/>
  <c r="BN90"/>
  <c r="BR90"/>
  <c r="BS90"/>
  <c r="BW90"/>
  <c r="BX90"/>
  <c r="CB90"/>
  <c r="CC90"/>
  <c r="CG90"/>
  <c r="CH90"/>
  <c r="CL90"/>
  <c r="CM90"/>
  <c r="CQ90"/>
  <c r="CR90"/>
  <c r="CV90"/>
  <c r="CW90"/>
  <c r="DC90"/>
  <c r="DD90"/>
  <c r="DE90"/>
  <c r="DK90"/>
  <c r="DL90"/>
  <c r="DO90"/>
  <c r="E91"/>
  <c r="F91"/>
  <c r="J91"/>
  <c r="K91"/>
  <c r="O91"/>
  <c r="P91"/>
  <c r="T91"/>
  <c r="U91"/>
  <c r="Y91"/>
  <c r="Z91"/>
  <c r="AD91"/>
  <c r="AE91"/>
  <c r="AI91"/>
  <c r="AJ91"/>
  <c r="AN91"/>
  <c r="AO91"/>
  <c r="AS91"/>
  <c r="AT91"/>
  <c r="AX91"/>
  <c r="AY91"/>
  <c r="BC91"/>
  <c r="BD91"/>
  <c r="BE91"/>
  <c r="DM91" s="1"/>
  <c r="BF91"/>
  <c r="BI91" s="1"/>
  <c r="BG91"/>
  <c r="BH91"/>
  <c r="BM91"/>
  <c r="BN91"/>
  <c r="BR91"/>
  <c r="BS91"/>
  <c r="BW91"/>
  <c r="BX91"/>
  <c r="CB91"/>
  <c r="CC91"/>
  <c r="CG91"/>
  <c r="CH91"/>
  <c r="CL91"/>
  <c r="CM91"/>
  <c r="CQ91"/>
  <c r="CR91"/>
  <c r="CV91"/>
  <c r="CW91"/>
  <c r="DC91"/>
  <c r="DD91"/>
  <c r="DE91"/>
  <c r="DK91"/>
  <c r="DL91"/>
  <c r="E92"/>
  <c r="F92"/>
  <c r="J92"/>
  <c r="K92"/>
  <c r="O92"/>
  <c r="P92"/>
  <c r="T92"/>
  <c r="U92"/>
  <c r="Y92"/>
  <c r="Z92"/>
  <c r="AD92"/>
  <c r="AE92"/>
  <c r="AI92"/>
  <c r="AJ92"/>
  <c r="AN92"/>
  <c r="AO92"/>
  <c r="AS92"/>
  <c r="AT92"/>
  <c r="AX92"/>
  <c r="AY92"/>
  <c r="BC92"/>
  <c r="BD92"/>
  <c r="BE92"/>
  <c r="BF92"/>
  <c r="BI92" s="1"/>
  <c r="BG92"/>
  <c r="BH92" s="1"/>
  <c r="BM92"/>
  <c r="BN92"/>
  <c r="BR92"/>
  <c r="BS92"/>
  <c r="BW92"/>
  <c r="BX92"/>
  <c r="BX103" s="1"/>
  <c r="CB92"/>
  <c r="CC92"/>
  <c r="CG92"/>
  <c r="CH92"/>
  <c r="CL92"/>
  <c r="CM92"/>
  <c r="CQ92"/>
  <c r="CR92"/>
  <c r="CR103" s="1"/>
  <c r="CV92"/>
  <c r="CW92"/>
  <c r="DC92"/>
  <c r="DD92"/>
  <c r="DG92" s="1"/>
  <c r="DE92"/>
  <c r="DF92"/>
  <c r="DK92"/>
  <c r="DL92"/>
  <c r="E93"/>
  <c r="F93"/>
  <c r="J93"/>
  <c r="K93"/>
  <c r="O93"/>
  <c r="P93"/>
  <c r="P103" s="1"/>
  <c r="T93"/>
  <c r="U93"/>
  <c r="Y93"/>
  <c r="Z93"/>
  <c r="AD93"/>
  <c r="AE93"/>
  <c r="AI93"/>
  <c r="AJ93"/>
  <c r="AN93"/>
  <c r="AO93"/>
  <c r="AS93"/>
  <c r="AT93"/>
  <c r="AX93"/>
  <c r="AY93"/>
  <c r="BC93"/>
  <c r="BD93"/>
  <c r="BD103" s="1"/>
  <c r="BE93"/>
  <c r="BF93"/>
  <c r="BG93"/>
  <c r="BM93"/>
  <c r="BM103" s="1"/>
  <c r="BN93"/>
  <c r="BR93"/>
  <c r="BS93"/>
  <c r="BW93"/>
  <c r="BX93"/>
  <c r="CB93"/>
  <c r="CC93"/>
  <c r="CG93"/>
  <c r="CH93"/>
  <c r="CL93"/>
  <c r="CM93"/>
  <c r="CQ93"/>
  <c r="CR93"/>
  <c r="CV93"/>
  <c r="CW93"/>
  <c r="DC93"/>
  <c r="DD93"/>
  <c r="DG93" s="1"/>
  <c r="DE93"/>
  <c r="DO93"/>
  <c r="DF93"/>
  <c r="DK93"/>
  <c r="DL93"/>
  <c r="DN93"/>
  <c r="DP93" s="1"/>
  <c r="E94"/>
  <c r="F94"/>
  <c r="J94"/>
  <c r="K94"/>
  <c r="O94"/>
  <c r="P94"/>
  <c r="T94"/>
  <c r="U94"/>
  <c r="Y94"/>
  <c r="Z94"/>
  <c r="AD94"/>
  <c r="AE94"/>
  <c r="AI94"/>
  <c r="AJ94"/>
  <c r="AN94"/>
  <c r="AO94"/>
  <c r="AS94"/>
  <c r="AT94"/>
  <c r="AX94"/>
  <c r="AY94"/>
  <c r="BC94"/>
  <c r="BD94"/>
  <c r="BE94"/>
  <c r="BF94"/>
  <c r="BG94"/>
  <c r="DO94" s="1"/>
  <c r="BM94"/>
  <c r="BN94"/>
  <c r="BR94"/>
  <c r="BS94"/>
  <c r="BW94"/>
  <c r="BX94"/>
  <c r="CB94"/>
  <c r="CC94"/>
  <c r="CG94"/>
  <c r="CH94"/>
  <c r="CL94"/>
  <c r="CM94"/>
  <c r="CQ94"/>
  <c r="CR94"/>
  <c r="CV94"/>
  <c r="CW94"/>
  <c r="DC94"/>
  <c r="DM94" s="1"/>
  <c r="DD94"/>
  <c r="DE94"/>
  <c r="DK94"/>
  <c r="DL94"/>
  <c r="E95"/>
  <c r="J95"/>
  <c r="O95"/>
  <c r="T95"/>
  <c r="Y95"/>
  <c r="AD95"/>
  <c r="AE95"/>
  <c r="AI95"/>
  <c r="AJ95"/>
  <c r="AN95"/>
  <c r="AO95"/>
  <c r="AS95"/>
  <c r="AT95"/>
  <c r="AX95"/>
  <c r="AY95"/>
  <c r="BC95"/>
  <c r="BD95"/>
  <c r="BE95"/>
  <c r="DM95" s="1"/>
  <c r="BF95"/>
  <c r="BG95"/>
  <c r="BM95"/>
  <c r="DF95" s="1"/>
  <c r="BR95"/>
  <c r="BS95"/>
  <c r="BW95"/>
  <c r="CB95"/>
  <c r="CG95"/>
  <c r="CH95"/>
  <c r="CL95"/>
  <c r="CQ95"/>
  <c r="CR95"/>
  <c r="CV95"/>
  <c r="CW95"/>
  <c r="DC95"/>
  <c r="DD95"/>
  <c r="DE95"/>
  <c r="DK95"/>
  <c r="DN95"/>
  <c r="E96"/>
  <c r="J96"/>
  <c r="BH96" s="1"/>
  <c r="O96"/>
  <c r="T96"/>
  <c r="Y96"/>
  <c r="AD96"/>
  <c r="AE96"/>
  <c r="AI96"/>
  <c r="AJ96"/>
  <c r="AJ103"/>
  <c r="AN96"/>
  <c r="AO96"/>
  <c r="AS96"/>
  <c r="AT96"/>
  <c r="AX96"/>
  <c r="AY96"/>
  <c r="BC96"/>
  <c r="BD96"/>
  <c r="BE96"/>
  <c r="BF96"/>
  <c r="BG96"/>
  <c r="BM96"/>
  <c r="BR96"/>
  <c r="BS96"/>
  <c r="BW96"/>
  <c r="CB96"/>
  <c r="CG96"/>
  <c r="CH96"/>
  <c r="CL96"/>
  <c r="CQ96"/>
  <c r="CR96"/>
  <c r="CV96"/>
  <c r="CW96"/>
  <c r="DC96"/>
  <c r="DD96"/>
  <c r="DE96"/>
  <c r="DK96"/>
  <c r="DM96"/>
  <c r="E97"/>
  <c r="J97"/>
  <c r="O97"/>
  <c r="T97"/>
  <c r="Y97"/>
  <c r="AD97"/>
  <c r="AI97"/>
  <c r="AN97"/>
  <c r="AS97"/>
  <c r="AX97"/>
  <c r="BC97"/>
  <c r="BF97"/>
  <c r="BG97"/>
  <c r="BM97"/>
  <c r="BR97"/>
  <c r="BW97"/>
  <c r="CB97"/>
  <c r="CG97"/>
  <c r="CL97"/>
  <c r="CQ97"/>
  <c r="CV97"/>
  <c r="DC97"/>
  <c r="DD97"/>
  <c r="DF97" s="1"/>
  <c r="DE97"/>
  <c r="DK97"/>
  <c r="DO97"/>
  <c r="E98"/>
  <c r="J98"/>
  <c r="O98"/>
  <c r="T98"/>
  <c r="Y98"/>
  <c r="AD98"/>
  <c r="AI98"/>
  <c r="AN98"/>
  <c r="AS98"/>
  <c r="AX98"/>
  <c r="BC98"/>
  <c r="BF98"/>
  <c r="BH98" s="1"/>
  <c r="BG98"/>
  <c r="BM98"/>
  <c r="BR98"/>
  <c r="BW98"/>
  <c r="CB98"/>
  <c r="CG98"/>
  <c r="CL98"/>
  <c r="CQ98"/>
  <c r="CV98"/>
  <c r="DC98"/>
  <c r="DD98"/>
  <c r="DF98" s="1"/>
  <c r="DE98"/>
  <c r="DK98"/>
  <c r="DN98"/>
  <c r="DP98" s="1"/>
  <c r="DO98"/>
  <c r="E99"/>
  <c r="J99"/>
  <c r="O99"/>
  <c r="T99"/>
  <c r="Y99"/>
  <c r="AD99"/>
  <c r="AI99"/>
  <c r="AN99"/>
  <c r="AS99"/>
  <c r="AX99"/>
  <c r="BC99"/>
  <c r="BF99"/>
  <c r="BG99"/>
  <c r="BM99"/>
  <c r="BR99"/>
  <c r="BW99"/>
  <c r="CB99"/>
  <c r="CG99"/>
  <c r="CL99"/>
  <c r="CQ99"/>
  <c r="CV99"/>
  <c r="DC99"/>
  <c r="DD99"/>
  <c r="DF99" s="1"/>
  <c r="DE99"/>
  <c r="DK99"/>
  <c r="DO99"/>
  <c r="E100"/>
  <c r="J100"/>
  <c r="O100"/>
  <c r="T100"/>
  <c r="Y100"/>
  <c r="AD100"/>
  <c r="AI100"/>
  <c r="AN100"/>
  <c r="AS100"/>
  <c r="AX100"/>
  <c r="BC100"/>
  <c r="BF100"/>
  <c r="BH100" s="1"/>
  <c r="BG100"/>
  <c r="BM100"/>
  <c r="BR100"/>
  <c r="BW100"/>
  <c r="CB100"/>
  <c r="CG100"/>
  <c r="CL100"/>
  <c r="CQ100"/>
  <c r="CV100"/>
  <c r="DC100"/>
  <c r="DD100"/>
  <c r="DF100" s="1"/>
  <c r="DE100"/>
  <c r="DK100"/>
  <c r="DN100"/>
  <c r="DP100" s="1"/>
  <c r="DO100"/>
  <c r="E101"/>
  <c r="J101"/>
  <c r="O101"/>
  <c r="T101"/>
  <c r="Y101"/>
  <c r="AD101"/>
  <c r="AI101"/>
  <c r="AN101"/>
  <c r="AS101"/>
  <c r="AX101"/>
  <c r="BC101"/>
  <c r="BF101"/>
  <c r="BH101"/>
  <c r="BG101"/>
  <c r="DO101" s="1"/>
  <c r="BM101"/>
  <c r="BR101"/>
  <c r="BW101"/>
  <c r="CB101"/>
  <c r="CG101"/>
  <c r="CL101"/>
  <c r="CQ101"/>
  <c r="CV101"/>
  <c r="CV103" s="1"/>
  <c r="DC101"/>
  <c r="DD101"/>
  <c r="DF101"/>
  <c r="DE101"/>
  <c r="DK101"/>
  <c r="E102"/>
  <c r="J102"/>
  <c r="O102"/>
  <c r="T102"/>
  <c r="Y102"/>
  <c r="AD102"/>
  <c r="AI102"/>
  <c r="AN102"/>
  <c r="AS102"/>
  <c r="AX102"/>
  <c r="BC102"/>
  <c r="BF102"/>
  <c r="BG102"/>
  <c r="BH102" s="1"/>
  <c r="BM102"/>
  <c r="BR102"/>
  <c r="BW102"/>
  <c r="CB102"/>
  <c r="CG102"/>
  <c r="CL102"/>
  <c r="CQ102"/>
  <c r="CV102"/>
  <c r="DC102"/>
  <c r="DD102"/>
  <c r="DE102"/>
  <c r="DF102" s="1"/>
  <c r="DK102"/>
  <c r="DN102"/>
  <c r="DO102"/>
  <c r="DP102" s="1"/>
  <c r="B103"/>
  <c r="C103"/>
  <c r="D103"/>
  <c r="G103"/>
  <c r="H103"/>
  <c r="I103"/>
  <c r="L103"/>
  <c r="M103"/>
  <c r="N103"/>
  <c r="N104" s="1"/>
  <c r="Q103"/>
  <c r="R103"/>
  <c r="R104" s="1"/>
  <c r="S103"/>
  <c r="V103"/>
  <c r="W103"/>
  <c r="X103"/>
  <c r="AA103"/>
  <c r="AB103"/>
  <c r="AC103"/>
  <c r="AF103"/>
  <c r="AG103"/>
  <c r="AH103"/>
  <c r="AK103"/>
  <c r="AL103"/>
  <c r="AM103"/>
  <c r="AP103"/>
  <c r="AQ103"/>
  <c r="AR103"/>
  <c r="AU103"/>
  <c r="AV103"/>
  <c r="AW103"/>
  <c r="AZ103"/>
  <c r="BA103"/>
  <c r="BB103"/>
  <c r="BJ103"/>
  <c r="BK103"/>
  <c r="BL103"/>
  <c r="BO103"/>
  <c r="BP103"/>
  <c r="BQ103"/>
  <c r="BT103"/>
  <c r="BU103"/>
  <c r="BV103"/>
  <c r="BY103"/>
  <c r="BY104"/>
  <c r="BZ103"/>
  <c r="CA103"/>
  <c r="CC103"/>
  <c r="CD103"/>
  <c r="CD104" s="1"/>
  <c r="CE103"/>
  <c r="CF103"/>
  <c r="CI103"/>
  <c r="CJ103"/>
  <c r="CK103"/>
  <c r="CN103"/>
  <c r="CO103"/>
  <c r="CP103"/>
  <c r="CS103"/>
  <c r="CT103"/>
  <c r="CU103"/>
  <c r="CW103"/>
  <c r="DH103"/>
  <c r="DI103"/>
  <c r="DJ103"/>
  <c r="I104"/>
  <c r="AC104"/>
  <c r="CC104"/>
  <c r="E105"/>
  <c r="F105"/>
  <c r="J105"/>
  <c r="K105"/>
  <c r="O105"/>
  <c r="P105"/>
  <c r="T105"/>
  <c r="U105"/>
  <c r="Y105"/>
  <c r="Z105"/>
  <c r="AD105"/>
  <c r="AE105"/>
  <c r="AI105"/>
  <c r="AJ105"/>
  <c r="AN105"/>
  <c r="AO105"/>
  <c r="AS105"/>
  <c r="AT105"/>
  <c r="AX105"/>
  <c r="AY105"/>
  <c r="BC105"/>
  <c r="BD105"/>
  <c r="BE105"/>
  <c r="DM105" s="1"/>
  <c r="BF105"/>
  <c r="BG105"/>
  <c r="DO105" s="1"/>
  <c r="BM105"/>
  <c r="BN105"/>
  <c r="BS105"/>
  <c r="BW105"/>
  <c r="BX105"/>
  <c r="CB105"/>
  <c r="CC105"/>
  <c r="CG105"/>
  <c r="CH105"/>
  <c r="CL105"/>
  <c r="CM105"/>
  <c r="CQ105"/>
  <c r="CR105"/>
  <c r="CV105"/>
  <c r="CW105"/>
  <c r="DC105"/>
  <c r="DD105"/>
  <c r="DE105"/>
  <c r="DK105"/>
  <c r="DL105"/>
  <c r="F8" i="11"/>
  <c r="J8"/>
  <c r="K8"/>
  <c r="O8"/>
  <c r="T8"/>
  <c r="U8"/>
  <c r="Y8"/>
  <c r="Z8"/>
  <c r="AD8"/>
  <c r="AE8"/>
  <c r="AI8"/>
  <c r="AJ8"/>
  <c r="AN8"/>
  <c r="AO8"/>
  <c r="AS8"/>
  <c r="AT8"/>
  <c r="AX8"/>
  <c r="AY8"/>
  <c r="BC8"/>
  <c r="BD8"/>
  <c r="BH8"/>
  <c r="BI8"/>
  <c r="BJ8"/>
  <c r="BK8"/>
  <c r="BM8" s="1"/>
  <c r="BL8"/>
  <c r="BO8"/>
  <c r="B8" i="12" s="1"/>
  <c r="BQ8" i="11"/>
  <c r="E9"/>
  <c r="F9"/>
  <c r="J9"/>
  <c r="K9"/>
  <c r="O9"/>
  <c r="T9"/>
  <c r="U9"/>
  <c r="Y9"/>
  <c r="Z9"/>
  <c r="AD9"/>
  <c r="AE9"/>
  <c r="AI9"/>
  <c r="AJ9"/>
  <c r="AN9"/>
  <c r="AO9"/>
  <c r="AS9"/>
  <c r="AT9"/>
  <c r="AY9"/>
  <c r="BD9"/>
  <c r="BH9"/>
  <c r="BI9"/>
  <c r="BJ9"/>
  <c r="BK9"/>
  <c r="BL9"/>
  <c r="J10"/>
  <c r="K10"/>
  <c r="O10"/>
  <c r="P10"/>
  <c r="T10"/>
  <c r="U10"/>
  <c r="Y10"/>
  <c r="Z10"/>
  <c r="AD10"/>
  <c r="AI10"/>
  <c r="BK10"/>
  <c r="BM10" s="1"/>
  <c r="BL10"/>
  <c r="BP10"/>
  <c r="BQ10"/>
  <c r="E11"/>
  <c r="F11"/>
  <c r="J11"/>
  <c r="K11"/>
  <c r="O11"/>
  <c r="P11"/>
  <c r="T11"/>
  <c r="U11"/>
  <c r="Y11"/>
  <c r="Z11"/>
  <c r="AD11"/>
  <c r="AE11"/>
  <c r="AI11"/>
  <c r="AJ11"/>
  <c r="AN11"/>
  <c r="AO11"/>
  <c r="AS11"/>
  <c r="AT11"/>
  <c r="AY11"/>
  <c r="BD11"/>
  <c r="BH11"/>
  <c r="BI11"/>
  <c r="BJ11"/>
  <c r="BK11"/>
  <c r="BM11" s="1"/>
  <c r="BL11"/>
  <c r="BP11"/>
  <c r="BQ11"/>
  <c r="BR11" s="1"/>
  <c r="E14"/>
  <c r="F14"/>
  <c r="J14"/>
  <c r="K14"/>
  <c r="O14"/>
  <c r="T14"/>
  <c r="U14"/>
  <c r="Y14"/>
  <c r="Z14"/>
  <c r="AD14"/>
  <c r="AI14"/>
  <c r="AJ14"/>
  <c r="AN14"/>
  <c r="AO14"/>
  <c r="AS14"/>
  <c r="AT14"/>
  <c r="AX14"/>
  <c r="AY14"/>
  <c r="BC14"/>
  <c r="BD14"/>
  <c r="BH14"/>
  <c r="BI14"/>
  <c r="BJ14"/>
  <c r="BK14"/>
  <c r="BL14"/>
  <c r="E15"/>
  <c r="F15"/>
  <c r="J15"/>
  <c r="K15"/>
  <c r="O15"/>
  <c r="T15"/>
  <c r="U15"/>
  <c r="BN15" s="1"/>
  <c r="Y15"/>
  <c r="AD15"/>
  <c r="AI15"/>
  <c r="BJ15"/>
  <c r="BK15"/>
  <c r="BL15"/>
  <c r="BQ15"/>
  <c r="D15" i="12" s="1"/>
  <c r="E18" i="11"/>
  <c r="J18"/>
  <c r="O18"/>
  <c r="T18"/>
  <c r="Y18"/>
  <c r="AD18"/>
  <c r="AI18"/>
  <c r="AN18"/>
  <c r="AS18"/>
  <c r="AX18"/>
  <c r="BC18"/>
  <c r="BH18"/>
  <c r="BK18"/>
  <c r="BM18"/>
  <c r="BL18"/>
  <c r="BO18"/>
  <c r="BP18"/>
  <c r="C18" i="12" s="1"/>
  <c r="BQ18" i="11"/>
  <c r="D18" i="12" s="1"/>
  <c r="BS18" i="11"/>
  <c r="C19"/>
  <c r="E19"/>
  <c r="J19"/>
  <c r="O19"/>
  <c r="T19"/>
  <c r="Y19"/>
  <c r="AI19"/>
  <c r="AI35" s="1"/>
  <c r="AN19"/>
  <c r="AO19"/>
  <c r="AS19"/>
  <c r="AT19"/>
  <c r="AX19"/>
  <c r="AY19"/>
  <c r="BC19"/>
  <c r="BD19"/>
  <c r="BD35" s="1"/>
  <c r="BH19"/>
  <c r="BI19"/>
  <c r="BJ19"/>
  <c r="BK19"/>
  <c r="BP19" s="1"/>
  <c r="I10" i="5" s="1"/>
  <c r="BL19" i="11"/>
  <c r="AN20"/>
  <c r="AO20"/>
  <c r="AS20"/>
  <c r="AT20"/>
  <c r="AX20"/>
  <c r="AY20"/>
  <c r="AY35" s="1"/>
  <c r="BC20"/>
  <c r="BD20"/>
  <c r="BH20"/>
  <c r="BI20"/>
  <c r="BJ20"/>
  <c r="BK20"/>
  <c r="BL20"/>
  <c r="W21"/>
  <c r="W35" s="1"/>
  <c r="AN21"/>
  <c r="AO21"/>
  <c r="AS21"/>
  <c r="AT21"/>
  <c r="AX21"/>
  <c r="AY21"/>
  <c r="BC21"/>
  <c r="BC35" s="1"/>
  <c r="BD21"/>
  <c r="BH21"/>
  <c r="BI21"/>
  <c r="BJ21"/>
  <c r="BO21" s="1"/>
  <c r="BL21"/>
  <c r="BM22"/>
  <c r="BR22"/>
  <c r="E22" i="12" s="1"/>
  <c r="Y22" s="1"/>
  <c r="BP22" i="11"/>
  <c r="C22" i="12" s="1"/>
  <c r="BQ22" i="11"/>
  <c r="D22" i="12" s="1"/>
  <c r="E23" i="11"/>
  <c r="J23"/>
  <c r="O23"/>
  <c r="T23"/>
  <c r="Y23"/>
  <c r="AD23"/>
  <c r="AI23"/>
  <c r="AN23"/>
  <c r="AO23"/>
  <c r="AS23"/>
  <c r="AT23"/>
  <c r="AX23"/>
  <c r="AY23"/>
  <c r="BC23"/>
  <c r="BD23"/>
  <c r="BH23"/>
  <c r="BI23"/>
  <c r="BJ23"/>
  <c r="BK23"/>
  <c r="BL23"/>
  <c r="BO23"/>
  <c r="B23" i="12" s="1"/>
  <c r="E24" i="11"/>
  <c r="J24"/>
  <c r="O24"/>
  <c r="T24"/>
  <c r="Y24"/>
  <c r="AD24"/>
  <c r="AI24"/>
  <c r="AN24"/>
  <c r="AO24"/>
  <c r="AS24"/>
  <c r="AT24"/>
  <c r="AX24"/>
  <c r="AY24"/>
  <c r="BC24"/>
  <c r="BD24"/>
  <c r="BH24"/>
  <c r="BI24"/>
  <c r="BJ24"/>
  <c r="BK24"/>
  <c r="BP24" s="1"/>
  <c r="I16" i="5" s="1"/>
  <c r="O16" s="1"/>
  <c r="BL24" i="11"/>
  <c r="BQ24"/>
  <c r="J16" i="5" s="1"/>
  <c r="H25" i="11"/>
  <c r="BK25"/>
  <c r="AN25"/>
  <c r="BM25" s="1"/>
  <c r="AO25"/>
  <c r="AS25"/>
  <c r="AT25"/>
  <c r="AX25"/>
  <c r="AY25"/>
  <c r="BC25"/>
  <c r="BD25"/>
  <c r="BH25"/>
  <c r="BI25"/>
  <c r="BJ25"/>
  <c r="BL25"/>
  <c r="BQ25" s="1"/>
  <c r="D25" i="12" s="1"/>
  <c r="X25" s="1"/>
  <c r="E26" i="11"/>
  <c r="J26"/>
  <c r="T26"/>
  <c r="Y26"/>
  <c r="AI26"/>
  <c r="AN26"/>
  <c r="AO26"/>
  <c r="AS26"/>
  <c r="AT26"/>
  <c r="AX26"/>
  <c r="AY26"/>
  <c r="BC26"/>
  <c r="BD26"/>
  <c r="BH26"/>
  <c r="BI26"/>
  <c r="BJ26"/>
  <c r="BK26"/>
  <c r="BL26"/>
  <c r="BP26"/>
  <c r="I17" i="5" s="1"/>
  <c r="E27" i="11"/>
  <c r="J27"/>
  <c r="BM27" s="1"/>
  <c r="O27"/>
  <c r="T27"/>
  <c r="Y27"/>
  <c r="AD27"/>
  <c r="AI27"/>
  <c r="AN27"/>
  <c r="AO27"/>
  <c r="AS27"/>
  <c r="AT27"/>
  <c r="AX27"/>
  <c r="AY27"/>
  <c r="BC27"/>
  <c r="BD27"/>
  <c r="BH27"/>
  <c r="BI27"/>
  <c r="BJ27"/>
  <c r="BK27"/>
  <c r="BL27"/>
  <c r="J28"/>
  <c r="O28"/>
  <c r="T28"/>
  <c r="Y28"/>
  <c r="AD28"/>
  <c r="AN28"/>
  <c r="AO28"/>
  <c r="AS28"/>
  <c r="AT28"/>
  <c r="AX28"/>
  <c r="AY28"/>
  <c r="BC28"/>
  <c r="BD28"/>
  <c r="BH28"/>
  <c r="BI28"/>
  <c r="BJ28"/>
  <c r="BK28"/>
  <c r="BL28"/>
  <c r="BQ28" s="1"/>
  <c r="BO28"/>
  <c r="E29"/>
  <c r="J29"/>
  <c r="O29"/>
  <c r="T29"/>
  <c r="AI29"/>
  <c r="AN29"/>
  <c r="AO29"/>
  <c r="AS29"/>
  <c r="AT29"/>
  <c r="AX29"/>
  <c r="AY29"/>
  <c r="BC29"/>
  <c r="BD29"/>
  <c r="BH29"/>
  <c r="BI29"/>
  <c r="BJ29"/>
  <c r="BO29"/>
  <c r="BK29"/>
  <c r="BL29"/>
  <c r="BQ29" s="1"/>
  <c r="J20" i="5" s="1"/>
  <c r="E30" i="11"/>
  <c r="J30"/>
  <c r="O30"/>
  <c r="T30"/>
  <c r="Y30"/>
  <c r="AD30"/>
  <c r="AI30"/>
  <c r="AN30"/>
  <c r="AO30"/>
  <c r="AS30"/>
  <c r="AT30"/>
  <c r="AX30"/>
  <c r="AY30"/>
  <c r="BC30"/>
  <c r="BD30"/>
  <c r="BH30"/>
  <c r="BI30"/>
  <c r="BJ30"/>
  <c r="BK30"/>
  <c r="BP30" s="1"/>
  <c r="BL30"/>
  <c r="BQ30"/>
  <c r="E31"/>
  <c r="J31"/>
  <c r="N31"/>
  <c r="BL31"/>
  <c r="T31"/>
  <c r="AI31"/>
  <c r="AN31"/>
  <c r="AO31"/>
  <c r="AS31"/>
  <c r="AT31"/>
  <c r="AX31"/>
  <c r="AY31"/>
  <c r="BC31"/>
  <c r="BD31"/>
  <c r="BH31"/>
  <c r="BI31"/>
  <c r="BJ31"/>
  <c r="BK31"/>
  <c r="BP31" s="1"/>
  <c r="E32"/>
  <c r="J32"/>
  <c r="O32"/>
  <c r="T32"/>
  <c r="Y32"/>
  <c r="AD32"/>
  <c r="AI32"/>
  <c r="AN32"/>
  <c r="AO32"/>
  <c r="AS32"/>
  <c r="AT32"/>
  <c r="AX32"/>
  <c r="AY32"/>
  <c r="BC32"/>
  <c r="BD32"/>
  <c r="BH32"/>
  <c r="BI32"/>
  <c r="BJ32"/>
  <c r="BK32"/>
  <c r="BL32"/>
  <c r="E33"/>
  <c r="J33"/>
  <c r="BM33" s="1"/>
  <c r="O33"/>
  <c r="T33"/>
  <c r="Y33"/>
  <c r="AD33"/>
  <c r="AH33"/>
  <c r="BL33" s="1"/>
  <c r="AN33"/>
  <c r="AO33"/>
  <c r="AS33"/>
  <c r="AT33"/>
  <c r="AX33"/>
  <c r="AY33"/>
  <c r="BC33"/>
  <c r="BD33"/>
  <c r="BH33"/>
  <c r="BI33"/>
  <c r="BJ33"/>
  <c r="BO33" s="1"/>
  <c r="BK33"/>
  <c r="E34"/>
  <c r="J34"/>
  <c r="R34"/>
  <c r="R35" s="1"/>
  <c r="AN34"/>
  <c r="AO34"/>
  <c r="AS34"/>
  <c r="AT34"/>
  <c r="AX34"/>
  <c r="AY34"/>
  <c r="BC34"/>
  <c r="BD34"/>
  <c r="BH34"/>
  <c r="BI34"/>
  <c r="BJ34"/>
  <c r="BO34"/>
  <c r="BK34"/>
  <c r="BL34"/>
  <c r="BQ34" s="1"/>
  <c r="D34" i="12" s="1"/>
  <c r="X34" s="1"/>
  <c r="B35" i="11"/>
  <c r="C35"/>
  <c r="D35"/>
  <c r="F35"/>
  <c r="G35"/>
  <c r="H35"/>
  <c r="I35"/>
  <c r="K35"/>
  <c r="L35"/>
  <c r="M35"/>
  <c r="N35"/>
  <c r="Q35"/>
  <c r="S35"/>
  <c r="U35"/>
  <c r="V35"/>
  <c r="X35"/>
  <c r="X46" s="1"/>
  <c r="X61" s="1"/>
  <c r="Z35"/>
  <c r="AA35"/>
  <c r="AB35"/>
  <c r="AC35"/>
  <c r="AE35"/>
  <c r="AF35"/>
  <c r="AG35"/>
  <c r="AG46" s="1"/>
  <c r="AH35"/>
  <c r="AJ35"/>
  <c r="AJ46"/>
  <c r="AK35"/>
  <c r="AL35"/>
  <c r="AM35"/>
  <c r="AP35"/>
  <c r="AQ35"/>
  <c r="AR35"/>
  <c r="AU35"/>
  <c r="AV35"/>
  <c r="AW35"/>
  <c r="AZ35"/>
  <c r="BA35"/>
  <c r="BB35"/>
  <c r="BE35"/>
  <c r="BF35"/>
  <c r="BG35"/>
  <c r="C36"/>
  <c r="E36"/>
  <c r="AD36"/>
  <c r="AI36"/>
  <c r="AN36"/>
  <c r="AO36"/>
  <c r="AS36"/>
  <c r="AT36"/>
  <c r="AX36"/>
  <c r="AY36"/>
  <c r="BC36"/>
  <c r="BD36"/>
  <c r="BH36"/>
  <c r="BI36"/>
  <c r="BJ36"/>
  <c r="BO36" s="1"/>
  <c r="B36" i="12" s="1"/>
  <c r="V36" s="1"/>
  <c r="BL36" i="11"/>
  <c r="E37"/>
  <c r="J37"/>
  <c r="O37"/>
  <c r="Y37"/>
  <c r="AD37"/>
  <c r="AI37"/>
  <c r="AN37"/>
  <c r="AO37"/>
  <c r="AS37"/>
  <c r="AT37"/>
  <c r="AX37"/>
  <c r="AY37"/>
  <c r="BC37"/>
  <c r="BD37"/>
  <c r="BH37"/>
  <c r="BI37"/>
  <c r="BJ37"/>
  <c r="BK37"/>
  <c r="BP37" s="1"/>
  <c r="I31" i="5" s="1"/>
  <c r="BL37" i="11"/>
  <c r="E38"/>
  <c r="J38"/>
  <c r="O38"/>
  <c r="T38"/>
  <c r="Y38"/>
  <c r="AD38"/>
  <c r="AI38"/>
  <c r="AN38"/>
  <c r="AO38"/>
  <c r="AS38"/>
  <c r="AT38"/>
  <c r="AX38"/>
  <c r="AY38"/>
  <c r="BC38"/>
  <c r="BD38"/>
  <c r="BH38"/>
  <c r="BI38"/>
  <c r="BJ38"/>
  <c r="BK38"/>
  <c r="BP38" s="1"/>
  <c r="C38" i="12" s="1"/>
  <c r="W38" s="1"/>
  <c r="BL38" i="11"/>
  <c r="E39"/>
  <c r="J39"/>
  <c r="O39"/>
  <c r="T39"/>
  <c r="AD39"/>
  <c r="AI39"/>
  <c r="AN39"/>
  <c r="AO39"/>
  <c r="AS39"/>
  <c r="AT39"/>
  <c r="AX39"/>
  <c r="AY39"/>
  <c r="BC39"/>
  <c r="BD39"/>
  <c r="BH39"/>
  <c r="BI39"/>
  <c r="BJ39"/>
  <c r="BK39"/>
  <c r="BP39" s="1"/>
  <c r="I33" i="5" s="1"/>
  <c r="BL39" i="11"/>
  <c r="E40"/>
  <c r="J40"/>
  <c r="O40"/>
  <c r="T40"/>
  <c r="Y40"/>
  <c r="AD40"/>
  <c r="AI40"/>
  <c r="AN40"/>
  <c r="BM40" s="1"/>
  <c r="AO40"/>
  <c r="AS40"/>
  <c r="AT40"/>
  <c r="AX40"/>
  <c r="AY40"/>
  <c r="BC40"/>
  <c r="BD40"/>
  <c r="BH40"/>
  <c r="BI40"/>
  <c r="BJ40"/>
  <c r="BO40" s="1"/>
  <c r="B40" i="12" s="1"/>
  <c r="BK40" i="11"/>
  <c r="BL40"/>
  <c r="E41"/>
  <c r="J41"/>
  <c r="Y41"/>
  <c r="AB41"/>
  <c r="AB45" s="1"/>
  <c r="AB46" s="1"/>
  <c r="AI41"/>
  <c r="AN41"/>
  <c r="AO41"/>
  <c r="AS41"/>
  <c r="AT41"/>
  <c r="AX41"/>
  <c r="AY41"/>
  <c r="BC41"/>
  <c r="BD41"/>
  <c r="BH41"/>
  <c r="BI41"/>
  <c r="BJ41"/>
  <c r="BO41" s="1"/>
  <c r="BL41"/>
  <c r="E42"/>
  <c r="J42"/>
  <c r="O42"/>
  <c r="Y42"/>
  <c r="AD42"/>
  <c r="AI42"/>
  <c r="AN42"/>
  <c r="AO42"/>
  <c r="AS42"/>
  <c r="AT42"/>
  <c r="AX42"/>
  <c r="AY42"/>
  <c r="BC42"/>
  <c r="BD42"/>
  <c r="BH42"/>
  <c r="BI42"/>
  <c r="BJ42"/>
  <c r="BK42"/>
  <c r="BP42" s="1"/>
  <c r="C42" i="12" s="1"/>
  <c r="W42" s="1"/>
  <c r="BL42" i="11"/>
  <c r="E43"/>
  <c r="J43"/>
  <c r="O43"/>
  <c r="T43"/>
  <c r="Y43"/>
  <c r="AD43"/>
  <c r="AI43"/>
  <c r="AN43"/>
  <c r="AO43"/>
  <c r="AS43"/>
  <c r="AT43"/>
  <c r="AX43"/>
  <c r="AY43"/>
  <c r="BC43"/>
  <c r="BD43"/>
  <c r="BH43"/>
  <c r="BI43"/>
  <c r="BJ43"/>
  <c r="BK43"/>
  <c r="BP43" s="1"/>
  <c r="I37" i="5" s="1"/>
  <c r="O37" s="1"/>
  <c r="BL43" i="11"/>
  <c r="E44"/>
  <c r="J44"/>
  <c r="T44"/>
  <c r="Y44"/>
  <c r="AD44"/>
  <c r="AI44"/>
  <c r="AN44"/>
  <c r="BM44" s="1"/>
  <c r="AO44"/>
  <c r="AS44"/>
  <c r="AT44"/>
  <c r="AX44"/>
  <c r="AY44"/>
  <c r="BC44"/>
  <c r="BD44"/>
  <c r="BH44"/>
  <c r="BI44"/>
  <c r="BJ44"/>
  <c r="BO44" s="1"/>
  <c r="BK44"/>
  <c r="BP44" s="1"/>
  <c r="C44" i="12" s="1"/>
  <c r="BL44" i="11"/>
  <c r="B45"/>
  <c r="B46" s="1"/>
  <c r="D45"/>
  <c r="F45"/>
  <c r="F46" s="1"/>
  <c r="G45"/>
  <c r="G46"/>
  <c r="G61"/>
  <c r="H45"/>
  <c r="H46" s="1"/>
  <c r="I45"/>
  <c r="K45"/>
  <c r="K46"/>
  <c r="L45"/>
  <c r="M45"/>
  <c r="M46" s="1"/>
  <c r="N45"/>
  <c r="N46"/>
  <c r="N61" s="1"/>
  <c r="P45"/>
  <c r="Q45"/>
  <c r="Q46"/>
  <c r="R45"/>
  <c r="S45"/>
  <c r="S46"/>
  <c r="V45"/>
  <c r="V46" s="1"/>
  <c r="W45"/>
  <c r="X45"/>
  <c r="Z45"/>
  <c r="Z46" s="1"/>
  <c r="AA45"/>
  <c r="AC45"/>
  <c r="AC46" s="1"/>
  <c r="AE45"/>
  <c r="AF45"/>
  <c r="AG45"/>
  <c r="AG61"/>
  <c r="AH45"/>
  <c r="AJ45"/>
  <c r="AK45"/>
  <c r="AL45"/>
  <c r="AL46" s="1"/>
  <c r="AL61" s="1"/>
  <c r="AM45"/>
  <c r="AP45"/>
  <c r="AQ45"/>
  <c r="AR45"/>
  <c r="AU45"/>
  <c r="AV45"/>
  <c r="AV46" s="1"/>
  <c r="AW45"/>
  <c r="AW46" s="1"/>
  <c r="AZ45"/>
  <c r="BA45"/>
  <c r="BA46" s="1"/>
  <c r="BB45"/>
  <c r="BB46"/>
  <c r="BE45"/>
  <c r="BE46" s="1"/>
  <c r="BF45"/>
  <c r="BG45"/>
  <c r="I46"/>
  <c r="L46"/>
  <c r="AB61"/>
  <c r="AR46"/>
  <c r="AR61" s="1"/>
  <c r="E47"/>
  <c r="J47"/>
  <c r="O47"/>
  <c r="T47"/>
  <c r="Y47"/>
  <c r="AD47"/>
  <c r="AI47"/>
  <c r="AN47"/>
  <c r="AS47"/>
  <c r="AX47"/>
  <c r="BC47"/>
  <c r="BH47"/>
  <c r="BM47"/>
  <c r="BP47"/>
  <c r="BQ47"/>
  <c r="E48"/>
  <c r="J48"/>
  <c r="O48"/>
  <c r="T48"/>
  <c r="Y48"/>
  <c r="AD48"/>
  <c r="AI48"/>
  <c r="AN48"/>
  <c r="AS48"/>
  <c r="AX48"/>
  <c r="BC48"/>
  <c r="BH48"/>
  <c r="BK48"/>
  <c r="BL48"/>
  <c r="BP48"/>
  <c r="BQ48"/>
  <c r="E49"/>
  <c r="J49"/>
  <c r="O49"/>
  <c r="T49"/>
  <c r="Y49"/>
  <c r="AD49"/>
  <c r="AI49"/>
  <c r="AN49"/>
  <c r="AO49"/>
  <c r="AS49"/>
  <c r="AT49"/>
  <c r="AX49"/>
  <c r="AY49"/>
  <c r="BC49"/>
  <c r="BD49"/>
  <c r="BH49"/>
  <c r="BI49"/>
  <c r="BJ49"/>
  <c r="BJ60" s="1"/>
  <c r="BK49"/>
  <c r="BL49"/>
  <c r="BQ49"/>
  <c r="J43" i="5" s="1"/>
  <c r="E50" i="11"/>
  <c r="J50"/>
  <c r="O50"/>
  <c r="T50"/>
  <c r="Y50"/>
  <c r="AD50"/>
  <c r="AI50"/>
  <c r="AN50"/>
  <c r="AO50"/>
  <c r="AS50"/>
  <c r="AT50"/>
  <c r="AX50"/>
  <c r="AY50"/>
  <c r="BC50"/>
  <c r="BD50"/>
  <c r="BH50"/>
  <c r="BI50"/>
  <c r="BJ50"/>
  <c r="BK50"/>
  <c r="BL50"/>
  <c r="E51"/>
  <c r="J51"/>
  <c r="O51"/>
  <c r="T51"/>
  <c r="Y51"/>
  <c r="AD51"/>
  <c r="AI51"/>
  <c r="AN51"/>
  <c r="AO51"/>
  <c r="AS51"/>
  <c r="AT51"/>
  <c r="AX51"/>
  <c r="AY51"/>
  <c r="BC51"/>
  <c r="BD51"/>
  <c r="BH51"/>
  <c r="BI51"/>
  <c r="BJ51"/>
  <c r="BO51" s="1"/>
  <c r="B51" i="12" s="1"/>
  <c r="BK51" i="11"/>
  <c r="BL51"/>
  <c r="E52"/>
  <c r="J52"/>
  <c r="O52"/>
  <c r="T52"/>
  <c r="Y52"/>
  <c r="AD52"/>
  <c r="AN52"/>
  <c r="AO52"/>
  <c r="AS52"/>
  <c r="AT52"/>
  <c r="AX52"/>
  <c r="AY52"/>
  <c r="BC52"/>
  <c r="BD52"/>
  <c r="BH52"/>
  <c r="BI52"/>
  <c r="BJ52"/>
  <c r="BK52"/>
  <c r="BL52"/>
  <c r="BO52"/>
  <c r="B52" i="12" s="1"/>
  <c r="E53" i="11"/>
  <c r="J53"/>
  <c r="O53"/>
  <c r="T53"/>
  <c r="Y53"/>
  <c r="AD53"/>
  <c r="AI53"/>
  <c r="AJ53"/>
  <c r="AN53"/>
  <c r="AO53"/>
  <c r="AS53"/>
  <c r="AT53"/>
  <c r="AX53"/>
  <c r="AY53"/>
  <c r="BC53"/>
  <c r="BD53"/>
  <c r="BH53"/>
  <c r="BI53"/>
  <c r="BJ53"/>
  <c r="BK53"/>
  <c r="BL53"/>
  <c r="BQ53"/>
  <c r="D53" i="12" s="1"/>
  <c r="E54" i="11"/>
  <c r="J54"/>
  <c r="O54"/>
  <c r="T54"/>
  <c r="Y54"/>
  <c r="AD54"/>
  <c r="AI54"/>
  <c r="AN54"/>
  <c r="AO54"/>
  <c r="AS54"/>
  <c r="AT54"/>
  <c r="AX54"/>
  <c r="AY54"/>
  <c r="BC54"/>
  <c r="BD54"/>
  <c r="BH54"/>
  <c r="BI54"/>
  <c r="BJ54"/>
  <c r="BO54" s="1"/>
  <c r="B54" i="12" s="1"/>
  <c r="V54" s="1"/>
  <c r="BK54" i="11"/>
  <c r="BP54" s="1"/>
  <c r="C54" i="12" s="1"/>
  <c r="BL54" i="11"/>
  <c r="BQ54" s="1"/>
  <c r="D54" i="12" s="1"/>
  <c r="E55" i="11"/>
  <c r="J55"/>
  <c r="O55"/>
  <c r="T55"/>
  <c r="Y55"/>
  <c r="AD55"/>
  <c r="AN55"/>
  <c r="AO55"/>
  <c r="AS55"/>
  <c r="AT55"/>
  <c r="AX55"/>
  <c r="AY55"/>
  <c r="BC55"/>
  <c r="BD55"/>
  <c r="BH55"/>
  <c r="BI55"/>
  <c r="BJ55"/>
  <c r="BK55"/>
  <c r="BL55"/>
  <c r="E56"/>
  <c r="J56"/>
  <c r="O56"/>
  <c r="T56"/>
  <c r="Y56"/>
  <c r="AD56"/>
  <c r="AS56"/>
  <c r="AT56"/>
  <c r="AX56"/>
  <c r="AY56"/>
  <c r="BC56"/>
  <c r="BD56"/>
  <c r="BH56"/>
  <c r="BI56"/>
  <c r="BJ56"/>
  <c r="BO56" s="1"/>
  <c r="H50" i="5" s="1"/>
  <c r="N50" s="1"/>
  <c r="BK56" i="11"/>
  <c r="BL56"/>
  <c r="BQ56" s="1"/>
  <c r="D56" i="12" s="1"/>
  <c r="E57" i="11"/>
  <c r="J57"/>
  <c r="O57"/>
  <c r="T57"/>
  <c r="Y57"/>
  <c r="AD57"/>
  <c r="AN57"/>
  <c r="AO57"/>
  <c r="AS57"/>
  <c r="AT57"/>
  <c r="AX57"/>
  <c r="AY57"/>
  <c r="BC57"/>
  <c r="BD57"/>
  <c r="BH57"/>
  <c r="BI57"/>
  <c r="BJ57"/>
  <c r="BK57"/>
  <c r="BL57"/>
  <c r="BQ57" s="1"/>
  <c r="J51" i="5" s="1"/>
  <c r="P51" s="1"/>
  <c r="E58" i="11"/>
  <c r="J58"/>
  <c r="O58"/>
  <c r="T58"/>
  <c r="Y58"/>
  <c r="BM58" s="1"/>
  <c r="AD58"/>
  <c r="AH58"/>
  <c r="AS58"/>
  <c r="AT58"/>
  <c r="AX58"/>
  <c r="AY58"/>
  <c r="BC58"/>
  <c r="BD58"/>
  <c r="BH58"/>
  <c r="BI58"/>
  <c r="BJ58"/>
  <c r="BO58"/>
  <c r="B58" i="12" s="1"/>
  <c r="BK58" i="11"/>
  <c r="BL58"/>
  <c r="E59"/>
  <c r="J59"/>
  <c r="O59"/>
  <c r="T59"/>
  <c r="Y59"/>
  <c r="AD59"/>
  <c r="AD60" s="1"/>
  <c r="AI59"/>
  <c r="AN59"/>
  <c r="AS59"/>
  <c r="AX59"/>
  <c r="BC59"/>
  <c r="BH59"/>
  <c r="BJ59"/>
  <c r="BL59"/>
  <c r="BM59" s="1"/>
  <c r="BP59"/>
  <c r="I53" i="5"/>
  <c r="O53" s="1"/>
  <c r="BQ59" i="11"/>
  <c r="D59" i="12" s="1"/>
  <c r="B60" i="11"/>
  <c r="C60"/>
  <c r="D60"/>
  <c r="F60"/>
  <c r="G60"/>
  <c r="H60"/>
  <c r="I60"/>
  <c r="K60"/>
  <c r="L60"/>
  <c r="M60"/>
  <c r="N60"/>
  <c r="P60"/>
  <c r="Q60"/>
  <c r="R60"/>
  <c r="S60"/>
  <c r="U60"/>
  <c r="V60"/>
  <c r="W60"/>
  <c r="X60"/>
  <c r="Z60"/>
  <c r="AA60"/>
  <c r="AB60"/>
  <c r="AC60"/>
  <c r="AE60"/>
  <c r="AF60"/>
  <c r="AG60"/>
  <c r="AH60"/>
  <c r="AK60"/>
  <c r="AL60"/>
  <c r="AM60"/>
  <c r="AP60"/>
  <c r="AQ60"/>
  <c r="AR60"/>
  <c r="AU60"/>
  <c r="AV60"/>
  <c r="AW60"/>
  <c r="AZ60"/>
  <c r="BA60"/>
  <c r="BB60"/>
  <c r="BE60"/>
  <c r="BF60"/>
  <c r="BG60"/>
  <c r="H61"/>
  <c r="S61"/>
  <c r="E63"/>
  <c r="J63"/>
  <c r="O63"/>
  <c r="T63"/>
  <c r="Y63"/>
  <c r="AD63"/>
  <c r="AI63"/>
  <c r="AN63"/>
  <c r="AS63"/>
  <c r="AX63"/>
  <c r="BC63"/>
  <c r="BH63"/>
  <c r="BK63"/>
  <c r="BL63"/>
  <c r="BP63"/>
  <c r="BQ63"/>
  <c r="E64"/>
  <c r="J64"/>
  <c r="O64"/>
  <c r="T64"/>
  <c r="Y64"/>
  <c r="Y77" s="1"/>
  <c r="AD64"/>
  <c r="AN64"/>
  <c r="AO64"/>
  <c r="AS64"/>
  <c r="AT64"/>
  <c r="AX64"/>
  <c r="AY64"/>
  <c r="BC64"/>
  <c r="BD64"/>
  <c r="BH64"/>
  <c r="BI64"/>
  <c r="BJ64"/>
  <c r="BO64" s="1"/>
  <c r="B64" i="12" s="1"/>
  <c r="BK64" i="11"/>
  <c r="BP64" s="1"/>
  <c r="BL64"/>
  <c r="E65"/>
  <c r="J65"/>
  <c r="O65"/>
  <c r="T65"/>
  <c r="Y65"/>
  <c r="AD65"/>
  <c r="AI65"/>
  <c r="BM65" s="1"/>
  <c r="AN65"/>
  <c r="AO65"/>
  <c r="AS65"/>
  <c r="AT65"/>
  <c r="AX65"/>
  <c r="AY65"/>
  <c r="BC65"/>
  <c r="BD65"/>
  <c r="BH65"/>
  <c r="BI65"/>
  <c r="BJ65"/>
  <c r="BK65"/>
  <c r="BL65"/>
  <c r="E66"/>
  <c r="J66"/>
  <c r="O66"/>
  <c r="T66"/>
  <c r="Y66"/>
  <c r="AD66"/>
  <c r="AI66"/>
  <c r="AN66"/>
  <c r="AO66"/>
  <c r="AS66"/>
  <c r="AT66"/>
  <c r="AX66"/>
  <c r="AY66"/>
  <c r="BC66"/>
  <c r="BD66"/>
  <c r="BH66"/>
  <c r="BI66"/>
  <c r="BJ66"/>
  <c r="BK66"/>
  <c r="BL66"/>
  <c r="BQ66"/>
  <c r="D66" i="12"/>
  <c r="E67" i="11"/>
  <c r="J67"/>
  <c r="O67"/>
  <c r="T67"/>
  <c r="Y67"/>
  <c r="AD67"/>
  <c r="AI67"/>
  <c r="AN67"/>
  <c r="AO67"/>
  <c r="AS67"/>
  <c r="AT67"/>
  <c r="AX67"/>
  <c r="AY67"/>
  <c r="BC67"/>
  <c r="BD67"/>
  <c r="BH67"/>
  <c r="BI67"/>
  <c r="BJ67"/>
  <c r="BK67"/>
  <c r="BL67"/>
  <c r="E68"/>
  <c r="J68"/>
  <c r="O68"/>
  <c r="T68"/>
  <c r="Y68"/>
  <c r="AI68"/>
  <c r="AN68"/>
  <c r="AO68"/>
  <c r="AS68"/>
  <c r="AT68"/>
  <c r="AX68"/>
  <c r="AY68"/>
  <c r="BC68"/>
  <c r="BD68"/>
  <c r="BH68"/>
  <c r="BI68"/>
  <c r="BJ68"/>
  <c r="BK68"/>
  <c r="BP68" s="1"/>
  <c r="BL68"/>
  <c r="BQ68" s="1"/>
  <c r="D68" i="12" s="1"/>
  <c r="E69" i="11"/>
  <c r="J69"/>
  <c r="O69"/>
  <c r="AN69"/>
  <c r="AO69"/>
  <c r="AS69"/>
  <c r="AT69"/>
  <c r="AX69"/>
  <c r="AY69"/>
  <c r="BC69"/>
  <c r="BD69"/>
  <c r="BH69"/>
  <c r="BI69"/>
  <c r="BJ69"/>
  <c r="BK69"/>
  <c r="BP69" s="1"/>
  <c r="BL69"/>
  <c r="E70"/>
  <c r="J70"/>
  <c r="O70"/>
  <c r="T70"/>
  <c r="Y70"/>
  <c r="AD70"/>
  <c r="AI70"/>
  <c r="AN70"/>
  <c r="AO70"/>
  <c r="AS70"/>
  <c r="AT70"/>
  <c r="AX70"/>
  <c r="AY70"/>
  <c r="BC70"/>
  <c r="BD70"/>
  <c r="BH70"/>
  <c r="BI70"/>
  <c r="BJ70"/>
  <c r="BK70"/>
  <c r="BL70"/>
  <c r="BQ70" s="1"/>
  <c r="D70" i="12" s="1"/>
  <c r="E71" i="11"/>
  <c r="J71"/>
  <c r="O71"/>
  <c r="T71"/>
  <c r="Y71"/>
  <c r="AD71"/>
  <c r="AI71"/>
  <c r="AN71"/>
  <c r="AO71"/>
  <c r="AS71"/>
  <c r="AT71"/>
  <c r="AX71"/>
  <c r="AY71"/>
  <c r="BC71"/>
  <c r="BD71"/>
  <c r="BH71"/>
  <c r="BI71"/>
  <c r="BJ71"/>
  <c r="BO71" s="1"/>
  <c r="BK71"/>
  <c r="BL71"/>
  <c r="BQ71" s="1"/>
  <c r="D71" i="12" s="1"/>
  <c r="E72" i="11"/>
  <c r="J72"/>
  <c r="O72"/>
  <c r="T72"/>
  <c r="Y72"/>
  <c r="AD72"/>
  <c r="AI72"/>
  <c r="AN72"/>
  <c r="AO72"/>
  <c r="AS72"/>
  <c r="AT72"/>
  <c r="AX72"/>
  <c r="AY72"/>
  <c r="BC72"/>
  <c r="BD72"/>
  <c r="BH72"/>
  <c r="BI72"/>
  <c r="BJ72"/>
  <c r="BK72"/>
  <c r="BL72"/>
  <c r="BQ72"/>
  <c r="D72" i="12" s="1"/>
  <c r="BO72" i="11"/>
  <c r="B72" i="12" s="1"/>
  <c r="V72" s="1"/>
  <c r="E73" i="11"/>
  <c r="J73"/>
  <c r="O73"/>
  <c r="P77"/>
  <c r="AH73"/>
  <c r="BL73"/>
  <c r="AJ73"/>
  <c r="AN73"/>
  <c r="AO73"/>
  <c r="AS73"/>
  <c r="AT73"/>
  <c r="AX73"/>
  <c r="AY73"/>
  <c r="BC73"/>
  <c r="BD73"/>
  <c r="BH73"/>
  <c r="BI73"/>
  <c r="BJ73"/>
  <c r="BK73"/>
  <c r="BM73"/>
  <c r="E74"/>
  <c r="J74"/>
  <c r="O74"/>
  <c r="T74"/>
  <c r="Y74"/>
  <c r="AD74"/>
  <c r="AI74"/>
  <c r="AN74"/>
  <c r="AO74"/>
  <c r="AS74"/>
  <c r="AT74"/>
  <c r="AX74"/>
  <c r="AY74"/>
  <c r="BC74"/>
  <c r="BD74"/>
  <c r="BH74"/>
  <c r="BI74"/>
  <c r="BJ74"/>
  <c r="BK74"/>
  <c r="BL74"/>
  <c r="BO74"/>
  <c r="B74" i="12" s="1"/>
  <c r="V74"/>
  <c r="E75" i="11"/>
  <c r="J75"/>
  <c r="O75"/>
  <c r="T75"/>
  <c r="Y75"/>
  <c r="AD75"/>
  <c r="AI75"/>
  <c r="AN75"/>
  <c r="AO75"/>
  <c r="AS75"/>
  <c r="AT75"/>
  <c r="AX75"/>
  <c r="AY75"/>
  <c r="BC75"/>
  <c r="BD75"/>
  <c r="BH75"/>
  <c r="BI75"/>
  <c r="BJ75"/>
  <c r="BK75"/>
  <c r="BL75"/>
  <c r="BQ75" s="1"/>
  <c r="E76"/>
  <c r="J76"/>
  <c r="T76"/>
  <c r="Y76"/>
  <c r="AN76"/>
  <c r="AO76"/>
  <c r="AS76"/>
  <c r="AT76"/>
  <c r="AX76"/>
  <c r="AY76"/>
  <c r="BC76"/>
  <c r="BD76"/>
  <c r="BH76"/>
  <c r="BI76"/>
  <c r="BJ76"/>
  <c r="BK76"/>
  <c r="BL76"/>
  <c r="BQ76"/>
  <c r="J32" i="2" s="1"/>
  <c r="BO76" i="11"/>
  <c r="H32" i="2" s="1"/>
  <c r="N32" s="1"/>
  <c r="B77" i="11"/>
  <c r="C77"/>
  <c r="D77"/>
  <c r="F77"/>
  <c r="G77"/>
  <c r="H77"/>
  <c r="I77"/>
  <c r="K77"/>
  <c r="L77"/>
  <c r="M77"/>
  <c r="M87" s="1"/>
  <c r="N77"/>
  <c r="Q77"/>
  <c r="R77"/>
  <c r="S77"/>
  <c r="U77"/>
  <c r="V77"/>
  <c r="V87" s="1"/>
  <c r="W77"/>
  <c r="X77"/>
  <c r="Z77"/>
  <c r="AA77"/>
  <c r="AB77"/>
  <c r="AC77"/>
  <c r="AE77"/>
  <c r="AF77"/>
  <c r="AG77"/>
  <c r="AJ77"/>
  <c r="AK77"/>
  <c r="AL77"/>
  <c r="AM77"/>
  <c r="AP77"/>
  <c r="AQ77"/>
  <c r="AR77"/>
  <c r="AU77"/>
  <c r="AV77"/>
  <c r="AW77"/>
  <c r="AZ77"/>
  <c r="BA77"/>
  <c r="BB77"/>
  <c r="BE77"/>
  <c r="BF77"/>
  <c r="BG77"/>
  <c r="E78"/>
  <c r="J78"/>
  <c r="O78"/>
  <c r="T78"/>
  <c r="Y78"/>
  <c r="AD78"/>
  <c r="AN78"/>
  <c r="AO78"/>
  <c r="AS78"/>
  <c r="AT78"/>
  <c r="AX78"/>
  <c r="AY78"/>
  <c r="BC78"/>
  <c r="BD78"/>
  <c r="BD86" s="1"/>
  <c r="BH78"/>
  <c r="BI78"/>
  <c r="BJ78"/>
  <c r="BK78"/>
  <c r="BL78"/>
  <c r="E79"/>
  <c r="J79"/>
  <c r="O79"/>
  <c r="T79"/>
  <c r="Y79"/>
  <c r="AD79"/>
  <c r="AI79"/>
  <c r="AI86" s="1"/>
  <c r="AN79"/>
  <c r="AO79"/>
  <c r="AS79"/>
  <c r="AT79"/>
  <c r="AX79"/>
  <c r="AY79"/>
  <c r="BC79"/>
  <c r="BD79"/>
  <c r="BH79"/>
  <c r="BI79"/>
  <c r="BJ79"/>
  <c r="BK79"/>
  <c r="BL79"/>
  <c r="BQ79" s="1"/>
  <c r="E80"/>
  <c r="J80"/>
  <c r="O80"/>
  <c r="T80"/>
  <c r="U80"/>
  <c r="Y80"/>
  <c r="AN80"/>
  <c r="AO80"/>
  <c r="AS80"/>
  <c r="AT80"/>
  <c r="AX80"/>
  <c r="AY80"/>
  <c r="BC80"/>
  <c r="BD80"/>
  <c r="BH80"/>
  <c r="BI80"/>
  <c r="BJ80"/>
  <c r="BK80"/>
  <c r="BP80" s="1"/>
  <c r="BL80"/>
  <c r="E81"/>
  <c r="BM81" s="1"/>
  <c r="J81"/>
  <c r="O81"/>
  <c r="T81"/>
  <c r="Y81"/>
  <c r="AI81"/>
  <c r="AN81"/>
  <c r="AO81"/>
  <c r="AS81"/>
  <c r="AT81"/>
  <c r="AX81"/>
  <c r="AY81"/>
  <c r="BC81"/>
  <c r="BD81"/>
  <c r="BH81"/>
  <c r="BI81"/>
  <c r="BJ81"/>
  <c r="BO81" s="1"/>
  <c r="BK81"/>
  <c r="BL81"/>
  <c r="E82"/>
  <c r="J82"/>
  <c r="O82"/>
  <c r="R82"/>
  <c r="BK82" s="1"/>
  <c r="BP82" s="1"/>
  <c r="I40" i="2" s="1"/>
  <c r="Y82" i="11"/>
  <c r="AI82"/>
  <c r="AN82"/>
  <c r="AO82"/>
  <c r="AS82"/>
  <c r="AT82"/>
  <c r="AX82"/>
  <c r="AY82"/>
  <c r="BC82"/>
  <c r="BD82"/>
  <c r="BH82"/>
  <c r="BI82"/>
  <c r="BJ82"/>
  <c r="BL82"/>
  <c r="E83"/>
  <c r="J83"/>
  <c r="O83"/>
  <c r="T83"/>
  <c r="Y83"/>
  <c r="AD83"/>
  <c r="AI83"/>
  <c r="AN83"/>
  <c r="AO83"/>
  <c r="AS83"/>
  <c r="AT83"/>
  <c r="AX83"/>
  <c r="AY83"/>
  <c r="BC83"/>
  <c r="BD83"/>
  <c r="BH83"/>
  <c r="BI83"/>
  <c r="BJ83"/>
  <c r="BK83"/>
  <c r="BL83"/>
  <c r="E84"/>
  <c r="J84"/>
  <c r="O84"/>
  <c r="Y84"/>
  <c r="AD84"/>
  <c r="AE84"/>
  <c r="BN84"/>
  <c r="AI84"/>
  <c r="AN84"/>
  <c r="AO84"/>
  <c r="AS84"/>
  <c r="AT84"/>
  <c r="AX84"/>
  <c r="AY84"/>
  <c r="BC84"/>
  <c r="BD84"/>
  <c r="BH84"/>
  <c r="BI84"/>
  <c r="BJ84"/>
  <c r="BK84"/>
  <c r="BL84"/>
  <c r="E85"/>
  <c r="J85"/>
  <c r="O85"/>
  <c r="Y85"/>
  <c r="AD85"/>
  <c r="AI85"/>
  <c r="AN85"/>
  <c r="AO85"/>
  <c r="AS85"/>
  <c r="AT85"/>
  <c r="AX85"/>
  <c r="AY85"/>
  <c r="AY86" s="1"/>
  <c r="BC85"/>
  <c r="BD85"/>
  <c r="BH85"/>
  <c r="BI85"/>
  <c r="BJ85"/>
  <c r="BK85"/>
  <c r="BL85"/>
  <c r="BQ85"/>
  <c r="B86"/>
  <c r="B87" s="1"/>
  <c r="B105" s="1"/>
  <c r="C86"/>
  <c r="C87"/>
  <c r="D86"/>
  <c r="D87" s="1"/>
  <c r="D105" s="1"/>
  <c r="F86"/>
  <c r="F87" s="1"/>
  <c r="G86"/>
  <c r="H86"/>
  <c r="H87" s="1"/>
  <c r="I86"/>
  <c r="K86"/>
  <c r="L86"/>
  <c r="M86"/>
  <c r="N86"/>
  <c r="N87" s="1"/>
  <c r="N105" s="1"/>
  <c r="P86"/>
  <c r="Q86"/>
  <c r="Q87" s="1"/>
  <c r="Q105" s="1"/>
  <c r="S86"/>
  <c r="S87"/>
  <c r="V86"/>
  <c r="W86"/>
  <c r="X86"/>
  <c r="X87"/>
  <c r="Z86"/>
  <c r="AA86"/>
  <c r="AB86"/>
  <c r="AC86"/>
  <c r="AF86"/>
  <c r="AG86"/>
  <c r="AG87" s="1"/>
  <c r="AG105" s="1"/>
  <c r="AH86"/>
  <c r="AJ86"/>
  <c r="AK86"/>
  <c r="AK87" s="1"/>
  <c r="AL86"/>
  <c r="AL87"/>
  <c r="AL105"/>
  <c r="AM86"/>
  <c r="AM87" s="1"/>
  <c r="AM105" s="1"/>
  <c r="AP86"/>
  <c r="AP87" s="1"/>
  <c r="AP105" s="1"/>
  <c r="AQ86"/>
  <c r="AR86"/>
  <c r="AR87"/>
  <c r="AU86"/>
  <c r="AU87" s="1"/>
  <c r="AU105" s="1"/>
  <c r="AV86"/>
  <c r="AW86"/>
  <c r="AW87" s="1"/>
  <c r="AZ86"/>
  <c r="AZ87"/>
  <c r="AZ105"/>
  <c r="BA86"/>
  <c r="BB86"/>
  <c r="BB87" s="1"/>
  <c r="BB105" s="1"/>
  <c r="BE86"/>
  <c r="BE87" s="1"/>
  <c r="BE105" s="1"/>
  <c r="BF86"/>
  <c r="BG86"/>
  <c r="BG87" s="1"/>
  <c r="BG105" s="1"/>
  <c r="I87"/>
  <c r="E88"/>
  <c r="J88"/>
  <c r="O88"/>
  <c r="T88"/>
  <c r="Y88"/>
  <c r="AD88"/>
  <c r="AI88"/>
  <c r="AN88"/>
  <c r="AS88"/>
  <c r="AX88"/>
  <c r="BC88"/>
  <c r="BH88"/>
  <c r="BK88"/>
  <c r="BM88" s="1"/>
  <c r="BL88"/>
  <c r="BP88"/>
  <c r="BQ88"/>
  <c r="BR88" s="1"/>
  <c r="E89"/>
  <c r="J89"/>
  <c r="O89"/>
  <c r="T89"/>
  <c r="Y89"/>
  <c r="AD89"/>
  <c r="AI89"/>
  <c r="AN89"/>
  <c r="AS89"/>
  <c r="AX89"/>
  <c r="BC89"/>
  <c r="BH89"/>
  <c r="BK89"/>
  <c r="BL89"/>
  <c r="BP89"/>
  <c r="BQ89"/>
  <c r="E90"/>
  <c r="F90"/>
  <c r="J90"/>
  <c r="K90"/>
  <c r="O90"/>
  <c r="P90"/>
  <c r="T90"/>
  <c r="U90"/>
  <c r="Y90"/>
  <c r="Z90"/>
  <c r="AD90"/>
  <c r="AE90"/>
  <c r="AI90"/>
  <c r="AJ90"/>
  <c r="AN90"/>
  <c r="AO90"/>
  <c r="AS90"/>
  <c r="AT90"/>
  <c r="AX90"/>
  <c r="AY90"/>
  <c r="BC90"/>
  <c r="BD90"/>
  <c r="BH90"/>
  <c r="BI90"/>
  <c r="BJ90"/>
  <c r="BK90"/>
  <c r="BL90"/>
  <c r="BL104" s="1"/>
  <c r="E91"/>
  <c r="F91"/>
  <c r="J91"/>
  <c r="K91"/>
  <c r="O91"/>
  <c r="P91"/>
  <c r="T91"/>
  <c r="U91"/>
  <c r="Y91"/>
  <c r="Z91"/>
  <c r="AD91"/>
  <c r="AE91"/>
  <c r="AI91"/>
  <c r="AJ91"/>
  <c r="AN91"/>
  <c r="AO91"/>
  <c r="AS91"/>
  <c r="AT91"/>
  <c r="AX91"/>
  <c r="AY91"/>
  <c r="BC91"/>
  <c r="BD91"/>
  <c r="BH91"/>
  <c r="BI91"/>
  <c r="BJ91"/>
  <c r="BK91"/>
  <c r="BL91"/>
  <c r="BQ91" s="1"/>
  <c r="BM91"/>
  <c r="E92"/>
  <c r="F92"/>
  <c r="J92"/>
  <c r="K92"/>
  <c r="O92"/>
  <c r="P92"/>
  <c r="T92"/>
  <c r="U92"/>
  <c r="Y92"/>
  <c r="Z92"/>
  <c r="AD92"/>
  <c r="AE92"/>
  <c r="AI92"/>
  <c r="AJ92"/>
  <c r="AN92"/>
  <c r="AO92"/>
  <c r="AS92"/>
  <c r="AT92"/>
  <c r="AX92"/>
  <c r="AY92"/>
  <c r="BC92"/>
  <c r="BD92"/>
  <c r="BH92"/>
  <c r="BI92"/>
  <c r="BJ92"/>
  <c r="BK92"/>
  <c r="BL92"/>
  <c r="BO92"/>
  <c r="B92" i="12" s="1"/>
  <c r="E93" i="11"/>
  <c r="F93"/>
  <c r="J93"/>
  <c r="K93"/>
  <c r="O93"/>
  <c r="P93"/>
  <c r="T93"/>
  <c r="U93"/>
  <c r="Y93"/>
  <c r="Z93"/>
  <c r="AD93"/>
  <c r="AE93"/>
  <c r="AN93"/>
  <c r="AO93"/>
  <c r="AS93"/>
  <c r="AT93"/>
  <c r="AX93"/>
  <c r="AY93"/>
  <c r="BC93"/>
  <c r="BD93"/>
  <c r="BH93"/>
  <c r="BI93"/>
  <c r="BJ93"/>
  <c r="BK93"/>
  <c r="BL93"/>
  <c r="E94"/>
  <c r="F94"/>
  <c r="J94"/>
  <c r="K94"/>
  <c r="O94"/>
  <c r="P94"/>
  <c r="T94"/>
  <c r="U94"/>
  <c r="Y94"/>
  <c r="Z94"/>
  <c r="AD94"/>
  <c r="AE94"/>
  <c r="AJ94"/>
  <c r="AN94"/>
  <c r="AO94"/>
  <c r="AS94"/>
  <c r="AT94"/>
  <c r="AX94"/>
  <c r="AY94"/>
  <c r="BC94"/>
  <c r="BD94"/>
  <c r="BH94"/>
  <c r="BI94"/>
  <c r="BJ94"/>
  <c r="BK94"/>
  <c r="BL94"/>
  <c r="BQ94" s="1"/>
  <c r="E95"/>
  <c r="F95"/>
  <c r="J95"/>
  <c r="BM95" s="1"/>
  <c r="K95"/>
  <c r="O95"/>
  <c r="P95"/>
  <c r="T95"/>
  <c r="U95"/>
  <c r="Y95"/>
  <c r="Z95"/>
  <c r="AD95"/>
  <c r="AE95"/>
  <c r="AI95"/>
  <c r="AJ95"/>
  <c r="AN95"/>
  <c r="AO95"/>
  <c r="AS95"/>
  <c r="AT95"/>
  <c r="AX95"/>
  <c r="AY95"/>
  <c r="BC95"/>
  <c r="BD95"/>
  <c r="BH95"/>
  <c r="BI95"/>
  <c r="BJ95"/>
  <c r="BK95"/>
  <c r="BL95"/>
  <c r="BQ95" s="1"/>
  <c r="D95" i="12" s="1"/>
  <c r="X95" s="1"/>
  <c r="E96" i="11"/>
  <c r="J96"/>
  <c r="O96"/>
  <c r="T96"/>
  <c r="Y96"/>
  <c r="AD96"/>
  <c r="AN96"/>
  <c r="AO96"/>
  <c r="AS96"/>
  <c r="AT96"/>
  <c r="AX96"/>
  <c r="AY96"/>
  <c r="BC96"/>
  <c r="BD96"/>
  <c r="BH96"/>
  <c r="BI96"/>
  <c r="BJ96"/>
  <c r="BK96"/>
  <c r="BP96" s="1"/>
  <c r="BL96"/>
  <c r="E97"/>
  <c r="BM97" s="1"/>
  <c r="J97"/>
  <c r="O97"/>
  <c r="T97"/>
  <c r="Y97"/>
  <c r="AD97"/>
  <c r="AN97"/>
  <c r="AO97"/>
  <c r="AS97"/>
  <c r="AT97"/>
  <c r="AX97"/>
  <c r="AY97"/>
  <c r="BC97"/>
  <c r="BD97"/>
  <c r="BH97"/>
  <c r="BI97"/>
  <c r="BJ97"/>
  <c r="BK97"/>
  <c r="BL97"/>
  <c r="E98"/>
  <c r="BM98" s="1"/>
  <c r="J98"/>
  <c r="O98"/>
  <c r="T98"/>
  <c r="Y98"/>
  <c r="AD98"/>
  <c r="AN98"/>
  <c r="AS98"/>
  <c r="AX98"/>
  <c r="BC98"/>
  <c r="BH98"/>
  <c r="BK98"/>
  <c r="BL98"/>
  <c r="BP98"/>
  <c r="I58" i="2" s="1"/>
  <c r="BQ98" i="11"/>
  <c r="J58" i="2" s="1"/>
  <c r="E99" i="11"/>
  <c r="J99"/>
  <c r="O99"/>
  <c r="T99"/>
  <c r="Y99"/>
  <c r="AD99"/>
  <c r="AI99"/>
  <c r="AN99"/>
  <c r="AS99"/>
  <c r="AX99"/>
  <c r="BC99"/>
  <c r="BH99"/>
  <c r="BK99"/>
  <c r="BL99"/>
  <c r="BP99"/>
  <c r="C99" i="12" s="1"/>
  <c r="BQ99" i="11"/>
  <c r="E100"/>
  <c r="J100"/>
  <c r="O100"/>
  <c r="T100"/>
  <c r="Y100"/>
  <c r="AD100"/>
  <c r="AI100"/>
  <c r="AN100"/>
  <c r="AS100"/>
  <c r="AX100"/>
  <c r="BC100"/>
  <c r="BH100"/>
  <c r="BK100"/>
  <c r="BL100"/>
  <c r="BP100"/>
  <c r="BQ100"/>
  <c r="E101"/>
  <c r="J101"/>
  <c r="O101"/>
  <c r="T101"/>
  <c r="Y101"/>
  <c r="AD101"/>
  <c r="AI101"/>
  <c r="AN101"/>
  <c r="AS101"/>
  <c r="AX101"/>
  <c r="BC101"/>
  <c r="BH101"/>
  <c r="BK101"/>
  <c r="BL101"/>
  <c r="BP101"/>
  <c r="C101" i="12"/>
  <c r="BQ101" i="11"/>
  <c r="D101" i="12" s="1"/>
  <c r="X101" s="1"/>
  <c r="E102" i="11"/>
  <c r="BM102" s="1"/>
  <c r="J102"/>
  <c r="O102"/>
  <c r="T102"/>
  <c r="Y102"/>
  <c r="AD102"/>
  <c r="AI102"/>
  <c r="AN102"/>
  <c r="AS102"/>
  <c r="AX102"/>
  <c r="BC102"/>
  <c r="BH102"/>
  <c r="BK102"/>
  <c r="BL102"/>
  <c r="BP102"/>
  <c r="C102" i="12" s="1"/>
  <c r="W102" s="1"/>
  <c r="BQ102" i="11"/>
  <c r="D102" i="12" s="1"/>
  <c r="X102" s="1"/>
  <c r="E103" i="11"/>
  <c r="J103"/>
  <c r="O103"/>
  <c r="T103"/>
  <c r="Y103"/>
  <c r="AD103"/>
  <c r="AN103"/>
  <c r="AS103"/>
  <c r="AX103"/>
  <c r="BC103"/>
  <c r="BH103"/>
  <c r="BK103"/>
  <c r="BL103"/>
  <c r="BP103"/>
  <c r="I64" i="2" s="1"/>
  <c r="O64" s="1"/>
  <c r="I31" i="1" s="1"/>
  <c r="BQ103" i="11"/>
  <c r="J64" i="2"/>
  <c r="P64" s="1"/>
  <c r="J31" i="1" s="1"/>
  <c r="B104" i="11"/>
  <c r="C104"/>
  <c r="D104"/>
  <c r="G104"/>
  <c r="H104"/>
  <c r="I104"/>
  <c r="L104"/>
  <c r="M104"/>
  <c r="N104"/>
  <c r="Q104"/>
  <c r="R104"/>
  <c r="S104"/>
  <c r="V104"/>
  <c r="W104"/>
  <c r="X104"/>
  <c r="AA104"/>
  <c r="AB104"/>
  <c r="AC104"/>
  <c r="AF104"/>
  <c r="AG104"/>
  <c r="AH104"/>
  <c r="AK104"/>
  <c r="AL104"/>
  <c r="AM104"/>
  <c r="AP104"/>
  <c r="AQ104"/>
  <c r="AR104"/>
  <c r="AU104"/>
  <c r="AV104"/>
  <c r="AW104"/>
  <c r="AZ104"/>
  <c r="BA104"/>
  <c r="BB104"/>
  <c r="BE104"/>
  <c r="BF104"/>
  <c r="BG104"/>
  <c r="S105"/>
  <c r="E106"/>
  <c r="F106"/>
  <c r="J106"/>
  <c r="K106"/>
  <c r="O106"/>
  <c r="P106"/>
  <c r="T106"/>
  <c r="U106"/>
  <c r="Y106"/>
  <c r="Z106"/>
  <c r="AD106"/>
  <c r="AE106"/>
  <c r="AI106"/>
  <c r="AJ106"/>
  <c r="AN106"/>
  <c r="AO106"/>
  <c r="AS106"/>
  <c r="AT106"/>
  <c r="AX106"/>
  <c r="AY106"/>
  <c r="BC106"/>
  <c r="BD106"/>
  <c r="BH106"/>
  <c r="BI106"/>
  <c r="BJ106"/>
  <c r="BO106" s="1"/>
  <c r="BK106"/>
  <c r="BN106" s="1"/>
  <c r="BL106"/>
  <c r="AG107"/>
  <c r="D8" i="12"/>
  <c r="X8" s="1"/>
  <c r="J8"/>
  <c r="O8"/>
  <c r="Q8"/>
  <c r="R8"/>
  <c r="T8" s="1"/>
  <c r="S8"/>
  <c r="J9"/>
  <c r="O9"/>
  <c r="Q9"/>
  <c r="R9"/>
  <c r="S9"/>
  <c r="T9" s="1"/>
  <c r="D10"/>
  <c r="J10"/>
  <c r="O10"/>
  <c r="Q10"/>
  <c r="R10"/>
  <c r="S10"/>
  <c r="T10"/>
  <c r="J11"/>
  <c r="O11"/>
  <c r="Q11"/>
  <c r="R11"/>
  <c r="T11" s="1"/>
  <c r="S11"/>
  <c r="T12"/>
  <c r="J14"/>
  <c r="O14"/>
  <c r="Q14"/>
  <c r="R14"/>
  <c r="S14"/>
  <c r="T14" s="1"/>
  <c r="J15"/>
  <c r="O15"/>
  <c r="R15"/>
  <c r="T15" s="1"/>
  <c r="S15"/>
  <c r="B18"/>
  <c r="V18" s="1"/>
  <c r="J18"/>
  <c r="O18"/>
  <c r="Q18"/>
  <c r="R18"/>
  <c r="S18"/>
  <c r="J19"/>
  <c r="O19"/>
  <c r="Q19"/>
  <c r="R19"/>
  <c r="T19" s="1"/>
  <c r="S19"/>
  <c r="J20"/>
  <c r="O20"/>
  <c r="Q20"/>
  <c r="R20"/>
  <c r="S20"/>
  <c r="T20"/>
  <c r="J21"/>
  <c r="O21"/>
  <c r="Q21"/>
  <c r="R21"/>
  <c r="T21" s="1"/>
  <c r="S21"/>
  <c r="J23"/>
  <c r="O23"/>
  <c r="Q23"/>
  <c r="R23"/>
  <c r="S23"/>
  <c r="T23"/>
  <c r="J24"/>
  <c r="O24"/>
  <c r="Q24"/>
  <c r="R24"/>
  <c r="T24" s="1"/>
  <c r="S24"/>
  <c r="J25"/>
  <c r="O25"/>
  <c r="Q25"/>
  <c r="R25"/>
  <c r="S25"/>
  <c r="T25"/>
  <c r="J26"/>
  <c r="O26"/>
  <c r="Q26"/>
  <c r="R26"/>
  <c r="T26" s="1"/>
  <c r="S26"/>
  <c r="J27"/>
  <c r="O27"/>
  <c r="Q27"/>
  <c r="R27"/>
  <c r="S27"/>
  <c r="T27"/>
  <c r="J28"/>
  <c r="O28"/>
  <c r="Q28"/>
  <c r="R28"/>
  <c r="T28" s="1"/>
  <c r="S28"/>
  <c r="J29"/>
  <c r="O29"/>
  <c r="Q29"/>
  <c r="R29"/>
  <c r="S29"/>
  <c r="T29"/>
  <c r="J30"/>
  <c r="O30"/>
  <c r="Q30"/>
  <c r="R30"/>
  <c r="T30" s="1"/>
  <c r="S30"/>
  <c r="J31"/>
  <c r="O31"/>
  <c r="Q31"/>
  <c r="R31"/>
  <c r="S31"/>
  <c r="T31"/>
  <c r="J32"/>
  <c r="O32"/>
  <c r="Q32"/>
  <c r="R32"/>
  <c r="T32" s="1"/>
  <c r="S32"/>
  <c r="J33"/>
  <c r="O33"/>
  <c r="Q33"/>
  <c r="R33"/>
  <c r="S33"/>
  <c r="T33"/>
  <c r="J34"/>
  <c r="O34"/>
  <c r="Q34"/>
  <c r="R34"/>
  <c r="T34" s="1"/>
  <c r="S34"/>
  <c r="G35"/>
  <c r="H35"/>
  <c r="H46" s="1"/>
  <c r="H61" s="1"/>
  <c r="I35"/>
  <c r="K35"/>
  <c r="L35"/>
  <c r="M35"/>
  <c r="N35"/>
  <c r="P35"/>
  <c r="U35"/>
  <c r="J36"/>
  <c r="O36"/>
  <c r="Q36"/>
  <c r="R36"/>
  <c r="S36"/>
  <c r="T36" s="1"/>
  <c r="C37"/>
  <c r="W37" s="1"/>
  <c r="J37"/>
  <c r="O37"/>
  <c r="Q37"/>
  <c r="R37"/>
  <c r="S37"/>
  <c r="T37" s="1"/>
  <c r="J38"/>
  <c r="O38"/>
  <c r="Q38"/>
  <c r="R38"/>
  <c r="R45" s="1"/>
  <c r="S38"/>
  <c r="J39"/>
  <c r="O39"/>
  <c r="Q39"/>
  <c r="R39"/>
  <c r="S39"/>
  <c r="T39"/>
  <c r="J40"/>
  <c r="O40"/>
  <c r="Q40"/>
  <c r="R40"/>
  <c r="T40" s="1"/>
  <c r="S40"/>
  <c r="J41"/>
  <c r="O41"/>
  <c r="Q41"/>
  <c r="R41"/>
  <c r="S41"/>
  <c r="T41"/>
  <c r="J42"/>
  <c r="O42"/>
  <c r="Q42"/>
  <c r="R42"/>
  <c r="S42"/>
  <c r="T42"/>
  <c r="J43"/>
  <c r="O43"/>
  <c r="Q43"/>
  <c r="R43"/>
  <c r="T43" s="1"/>
  <c r="S43"/>
  <c r="J44"/>
  <c r="O44"/>
  <c r="Q44"/>
  <c r="R44"/>
  <c r="S44"/>
  <c r="T44"/>
  <c r="G45"/>
  <c r="G46"/>
  <c r="G61" s="1"/>
  <c r="H45"/>
  <c r="I45"/>
  <c r="I46" s="1"/>
  <c r="I61" s="1"/>
  <c r="K45"/>
  <c r="K46" s="1"/>
  <c r="L45"/>
  <c r="L46" s="1"/>
  <c r="M45"/>
  <c r="M46" s="1"/>
  <c r="M61" s="1"/>
  <c r="N45"/>
  <c r="P45"/>
  <c r="P46" s="1"/>
  <c r="Q45"/>
  <c r="U45"/>
  <c r="U46" s="1"/>
  <c r="N46"/>
  <c r="N61" s="1"/>
  <c r="N106" s="1"/>
  <c r="B47"/>
  <c r="D47"/>
  <c r="X47" s="1"/>
  <c r="J47"/>
  <c r="O47"/>
  <c r="R47"/>
  <c r="R60" s="1"/>
  <c r="S47"/>
  <c r="T47"/>
  <c r="B48"/>
  <c r="C48"/>
  <c r="D48"/>
  <c r="J48"/>
  <c r="O48"/>
  <c r="R48"/>
  <c r="S48"/>
  <c r="J49"/>
  <c r="O49"/>
  <c r="Q49"/>
  <c r="R49"/>
  <c r="T49" s="1"/>
  <c r="S49"/>
  <c r="J50"/>
  <c r="O50"/>
  <c r="Q50"/>
  <c r="R50"/>
  <c r="S50"/>
  <c r="T50"/>
  <c r="J51"/>
  <c r="O51"/>
  <c r="Q51"/>
  <c r="R51"/>
  <c r="T51" s="1"/>
  <c r="S51"/>
  <c r="J52"/>
  <c r="O52"/>
  <c r="Q52"/>
  <c r="R52"/>
  <c r="S52"/>
  <c r="T52"/>
  <c r="J53"/>
  <c r="O53"/>
  <c r="Q53"/>
  <c r="R53"/>
  <c r="T53" s="1"/>
  <c r="S53"/>
  <c r="J54"/>
  <c r="O54"/>
  <c r="Q54"/>
  <c r="R54"/>
  <c r="S54"/>
  <c r="T54"/>
  <c r="J55"/>
  <c r="O55"/>
  <c r="Q55"/>
  <c r="R55"/>
  <c r="S55"/>
  <c r="T55"/>
  <c r="U55"/>
  <c r="J56"/>
  <c r="T56" s="1"/>
  <c r="K58" i="5" s="1"/>
  <c r="O56" i="12"/>
  <c r="Q56"/>
  <c r="R56"/>
  <c r="S56"/>
  <c r="U56"/>
  <c r="O57"/>
  <c r="Q57"/>
  <c r="H59" i="5" s="1"/>
  <c r="N59" s="1"/>
  <c r="R57" i="12"/>
  <c r="S57"/>
  <c r="J59" i="5"/>
  <c r="T57" i="12"/>
  <c r="U57"/>
  <c r="J58"/>
  <c r="O58"/>
  <c r="Q58"/>
  <c r="R58"/>
  <c r="S58"/>
  <c r="T58"/>
  <c r="U58"/>
  <c r="B59"/>
  <c r="J59"/>
  <c r="R59"/>
  <c r="T59" s="1"/>
  <c r="S59"/>
  <c r="G60"/>
  <c r="H60"/>
  <c r="I60"/>
  <c r="K60"/>
  <c r="L60"/>
  <c r="M60"/>
  <c r="N60"/>
  <c r="P60"/>
  <c r="B63"/>
  <c r="J63"/>
  <c r="O63"/>
  <c r="R63"/>
  <c r="S63"/>
  <c r="S77" s="1"/>
  <c r="J64"/>
  <c r="O64"/>
  <c r="Q64"/>
  <c r="Q77" s="1"/>
  <c r="R64"/>
  <c r="T64"/>
  <c r="S64"/>
  <c r="J65"/>
  <c r="O65"/>
  <c r="Q65"/>
  <c r="R65"/>
  <c r="T65" s="1"/>
  <c r="S65"/>
  <c r="J66"/>
  <c r="O66"/>
  <c r="Q66"/>
  <c r="R66"/>
  <c r="T66" s="1"/>
  <c r="S66"/>
  <c r="J67"/>
  <c r="O67"/>
  <c r="Q67"/>
  <c r="R67"/>
  <c r="T67" s="1"/>
  <c r="S67"/>
  <c r="J68"/>
  <c r="O68"/>
  <c r="Q68"/>
  <c r="R68"/>
  <c r="T68" s="1"/>
  <c r="S68"/>
  <c r="J69"/>
  <c r="O69"/>
  <c r="Q69"/>
  <c r="R69"/>
  <c r="T69" s="1"/>
  <c r="S69"/>
  <c r="J70"/>
  <c r="O70"/>
  <c r="Q70"/>
  <c r="R70"/>
  <c r="T70" s="1"/>
  <c r="S70"/>
  <c r="J71"/>
  <c r="O71"/>
  <c r="Q71"/>
  <c r="R71"/>
  <c r="T71" s="1"/>
  <c r="S71"/>
  <c r="J72"/>
  <c r="O72"/>
  <c r="Q72"/>
  <c r="R72"/>
  <c r="T72" s="1"/>
  <c r="S72"/>
  <c r="J73"/>
  <c r="O73"/>
  <c r="Q73"/>
  <c r="R73"/>
  <c r="T73" s="1"/>
  <c r="S73"/>
  <c r="J74"/>
  <c r="O74"/>
  <c r="Q74"/>
  <c r="R74"/>
  <c r="T74" s="1"/>
  <c r="S74"/>
  <c r="J75"/>
  <c r="O75"/>
  <c r="Q75"/>
  <c r="R75"/>
  <c r="T75" s="1"/>
  <c r="S75"/>
  <c r="J76"/>
  <c r="O76"/>
  <c r="Q76"/>
  <c r="R76"/>
  <c r="T76" s="1"/>
  <c r="S76"/>
  <c r="G77"/>
  <c r="H77"/>
  <c r="I77"/>
  <c r="J77"/>
  <c r="K77"/>
  <c r="L77"/>
  <c r="M77"/>
  <c r="N77"/>
  <c r="P77"/>
  <c r="R77"/>
  <c r="U77"/>
  <c r="J78"/>
  <c r="O78"/>
  <c r="Q78"/>
  <c r="R78"/>
  <c r="R86" s="1"/>
  <c r="R87" s="1"/>
  <c r="S78"/>
  <c r="J79"/>
  <c r="O79"/>
  <c r="Q79"/>
  <c r="R79"/>
  <c r="S79"/>
  <c r="T79"/>
  <c r="J80"/>
  <c r="O80"/>
  <c r="Q80"/>
  <c r="R80"/>
  <c r="T80" s="1"/>
  <c r="S80"/>
  <c r="J81"/>
  <c r="O81"/>
  <c r="Q81"/>
  <c r="Q86" s="1"/>
  <c r="R81"/>
  <c r="S81"/>
  <c r="T81"/>
  <c r="J82"/>
  <c r="O82"/>
  <c r="Q82"/>
  <c r="R82"/>
  <c r="T82" s="1"/>
  <c r="S82"/>
  <c r="J83"/>
  <c r="O83"/>
  <c r="Q83"/>
  <c r="R83"/>
  <c r="S83"/>
  <c r="T83"/>
  <c r="J84"/>
  <c r="O84"/>
  <c r="Q84"/>
  <c r="R84"/>
  <c r="T84" s="1"/>
  <c r="S84"/>
  <c r="J85"/>
  <c r="O85"/>
  <c r="Q85"/>
  <c r="R85"/>
  <c r="S85"/>
  <c r="T85"/>
  <c r="G86"/>
  <c r="H86"/>
  <c r="H87" s="1"/>
  <c r="H105" s="1"/>
  <c r="I86"/>
  <c r="K86"/>
  <c r="K87" s="1"/>
  <c r="L86"/>
  <c r="L87" s="1"/>
  <c r="L105" s="1"/>
  <c r="M86"/>
  <c r="N86"/>
  <c r="P86"/>
  <c r="P87" s="1"/>
  <c r="U86"/>
  <c r="U87" s="1"/>
  <c r="G87"/>
  <c r="G105" s="1"/>
  <c r="N87"/>
  <c r="N105" s="1"/>
  <c r="B88"/>
  <c r="C88"/>
  <c r="J88"/>
  <c r="O88"/>
  <c r="R88"/>
  <c r="T88" s="1"/>
  <c r="S88"/>
  <c r="B89"/>
  <c r="J89"/>
  <c r="O89"/>
  <c r="R89"/>
  <c r="S89"/>
  <c r="J90"/>
  <c r="K90"/>
  <c r="O90"/>
  <c r="P90"/>
  <c r="Q90"/>
  <c r="Q104" s="1"/>
  <c r="R90"/>
  <c r="U90" s="1"/>
  <c r="S90"/>
  <c r="T90"/>
  <c r="J91"/>
  <c r="K91"/>
  <c r="O91"/>
  <c r="P91"/>
  <c r="Q91"/>
  <c r="R91"/>
  <c r="S91"/>
  <c r="J92"/>
  <c r="K92"/>
  <c r="O92"/>
  <c r="P92"/>
  <c r="P104" s="1"/>
  <c r="Q92"/>
  <c r="R92"/>
  <c r="S92"/>
  <c r="J93"/>
  <c r="K93"/>
  <c r="O93"/>
  <c r="P93"/>
  <c r="Q93"/>
  <c r="R93"/>
  <c r="S93"/>
  <c r="J94"/>
  <c r="K94"/>
  <c r="O94"/>
  <c r="P94"/>
  <c r="Q94"/>
  <c r="R94"/>
  <c r="U94" s="1"/>
  <c r="S94"/>
  <c r="J95"/>
  <c r="K95"/>
  <c r="O95"/>
  <c r="P95"/>
  <c r="Q95"/>
  <c r="R95"/>
  <c r="T95"/>
  <c r="S95"/>
  <c r="U95"/>
  <c r="J96"/>
  <c r="O96"/>
  <c r="Q96"/>
  <c r="R96"/>
  <c r="S96"/>
  <c r="T96" s="1"/>
  <c r="J97"/>
  <c r="O97"/>
  <c r="Q97"/>
  <c r="R97"/>
  <c r="S97"/>
  <c r="T97" s="1"/>
  <c r="B98"/>
  <c r="C98"/>
  <c r="W98" s="1"/>
  <c r="D98"/>
  <c r="J98"/>
  <c r="O98"/>
  <c r="Q98"/>
  <c r="R98"/>
  <c r="S98"/>
  <c r="T98" s="1"/>
  <c r="V98"/>
  <c r="B99"/>
  <c r="D99"/>
  <c r="X99" s="1"/>
  <c r="J99"/>
  <c r="U99"/>
  <c r="O99"/>
  <c r="Q99"/>
  <c r="V99" s="1"/>
  <c r="R99"/>
  <c r="S99"/>
  <c r="T99"/>
  <c r="C100"/>
  <c r="W100" s="1"/>
  <c r="D100"/>
  <c r="J100"/>
  <c r="O100"/>
  <c r="T100"/>
  <c r="Q100"/>
  <c r="R100"/>
  <c r="S100"/>
  <c r="U100"/>
  <c r="X100"/>
  <c r="O101"/>
  <c r="Q101"/>
  <c r="R101"/>
  <c r="I70" i="2" s="1"/>
  <c r="O70" s="1"/>
  <c r="S101" i="12"/>
  <c r="T101"/>
  <c r="U101"/>
  <c r="J102"/>
  <c r="T102" s="1"/>
  <c r="O102"/>
  <c r="Q102"/>
  <c r="H70" i="2" s="1"/>
  <c r="N70" s="1"/>
  <c r="R102" i="12"/>
  <c r="S102"/>
  <c r="U102"/>
  <c r="B103"/>
  <c r="C103"/>
  <c r="D103"/>
  <c r="J103"/>
  <c r="O103"/>
  <c r="R103"/>
  <c r="S103"/>
  <c r="X103" s="1"/>
  <c r="G104"/>
  <c r="H104"/>
  <c r="I104"/>
  <c r="L104"/>
  <c r="M104"/>
  <c r="N104"/>
  <c r="F7" i="13"/>
  <c r="G7"/>
  <c r="F8"/>
  <c r="G8"/>
  <c r="G72" s="1"/>
  <c r="G9"/>
  <c r="F10"/>
  <c r="G10"/>
  <c r="G11"/>
  <c r="F12"/>
  <c r="G12"/>
  <c r="G13"/>
  <c r="G14"/>
  <c r="G15"/>
  <c r="G16"/>
  <c r="D17"/>
  <c r="G17"/>
  <c r="G18"/>
  <c r="G19"/>
  <c r="F20"/>
  <c r="G20"/>
  <c r="G21"/>
  <c r="G22"/>
  <c r="G23"/>
  <c r="F24"/>
  <c r="G24"/>
  <c r="G25"/>
  <c r="D26"/>
  <c r="G26"/>
  <c r="F27"/>
  <c r="G27"/>
  <c r="G37"/>
  <c r="G38"/>
  <c r="F39"/>
  <c r="G39"/>
  <c r="G40"/>
  <c r="G41"/>
  <c r="F42"/>
  <c r="G42"/>
  <c r="F43"/>
  <c r="G43"/>
  <c r="F44"/>
  <c r="G44"/>
  <c r="F45"/>
  <c r="G45"/>
  <c r="F46"/>
  <c r="G46"/>
  <c r="F47"/>
  <c r="G47"/>
  <c r="F48"/>
  <c r="G48"/>
  <c r="F49"/>
  <c r="G49"/>
  <c r="F50"/>
  <c r="G50"/>
  <c r="F51"/>
  <c r="G51"/>
  <c r="F52"/>
  <c r="G52"/>
  <c r="F53"/>
  <c r="G53"/>
  <c r="F54"/>
  <c r="G54"/>
  <c r="F55"/>
  <c r="G55"/>
  <c r="F56"/>
  <c r="G56"/>
  <c r="F57"/>
  <c r="G57"/>
  <c r="F58"/>
  <c r="G58"/>
  <c r="F59"/>
  <c r="G59"/>
  <c r="F60"/>
  <c r="G60"/>
  <c r="F61"/>
  <c r="G61"/>
  <c r="F62"/>
  <c r="G62"/>
  <c r="F63"/>
  <c r="G63"/>
  <c r="F64"/>
  <c r="G64"/>
  <c r="F65"/>
  <c r="G65"/>
  <c r="F66"/>
  <c r="G66"/>
  <c r="F67"/>
  <c r="G67"/>
  <c r="F68"/>
  <c r="G68"/>
  <c r="F69"/>
  <c r="G69"/>
  <c r="F70"/>
  <c r="G70"/>
  <c r="C72"/>
  <c r="C98"/>
  <c r="D72"/>
  <c r="E72"/>
  <c r="G76"/>
  <c r="F77"/>
  <c r="G77"/>
  <c r="F78"/>
  <c r="G78"/>
  <c r="F79"/>
  <c r="G79"/>
  <c r="F80"/>
  <c r="F96" s="1"/>
  <c r="G80"/>
  <c r="F81"/>
  <c r="G81"/>
  <c r="F82"/>
  <c r="G82"/>
  <c r="F83"/>
  <c r="G83"/>
  <c r="F84"/>
  <c r="G84"/>
  <c r="F85"/>
  <c r="G85"/>
  <c r="F86"/>
  <c r="G86"/>
  <c r="F87"/>
  <c r="G87"/>
  <c r="F88"/>
  <c r="G88"/>
  <c r="F89"/>
  <c r="G89"/>
  <c r="F90"/>
  <c r="G90"/>
  <c r="F91"/>
  <c r="G91"/>
  <c r="F92"/>
  <c r="G92"/>
  <c r="F93"/>
  <c r="G93"/>
  <c r="F94"/>
  <c r="G94"/>
  <c r="C96"/>
  <c r="D96"/>
  <c r="E96"/>
  <c r="E98" s="1"/>
  <c r="D98"/>
  <c r="D9" i="14"/>
  <c r="E9"/>
  <c r="F9"/>
  <c r="G9"/>
  <c r="H9"/>
  <c r="L9"/>
  <c r="M9"/>
  <c r="N9"/>
  <c r="P9"/>
  <c r="Q9"/>
  <c r="R9"/>
  <c r="Z9"/>
  <c r="AA9"/>
  <c r="AB9"/>
  <c r="AC9"/>
  <c r="AD9"/>
  <c r="C10"/>
  <c r="C9"/>
  <c r="I10"/>
  <c r="O10"/>
  <c r="V10"/>
  <c r="W10"/>
  <c r="W9" s="1"/>
  <c r="X10"/>
  <c r="Y10"/>
  <c r="Y9"/>
  <c r="C11"/>
  <c r="I11"/>
  <c r="O11"/>
  <c r="W11"/>
  <c r="X11"/>
  <c r="Y11"/>
  <c r="I12"/>
  <c r="J12" s="1"/>
  <c r="K12" s="1"/>
  <c r="O12"/>
  <c r="U12"/>
  <c r="W12"/>
  <c r="X12"/>
  <c r="X9" s="1"/>
  <c r="Y12"/>
  <c r="I13"/>
  <c r="J13" s="1"/>
  <c r="K13" s="1"/>
  <c r="O13"/>
  <c r="V13"/>
  <c r="S13" s="1"/>
  <c r="T13" s="1"/>
  <c r="W13"/>
  <c r="X13"/>
  <c r="O14"/>
  <c r="V14"/>
  <c r="S14" s="1"/>
  <c r="T14" s="1"/>
  <c r="U14" s="1"/>
  <c r="W14"/>
  <c r="X14"/>
  <c r="O15"/>
  <c r="I15" s="1"/>
  <c r="J15" s="1"/>
  <c r="K15" s="1"/>
  <c r="V15"/>
  <c r="W15"/>
  <c r="X15"/>
  <c r="I16"/>
  <c r="J16" s="1"/>
  <c r="K16" s="1"/>
  <c r="O16"/>
  <c r="V16"/>
  <c r="S16" s="1"/>
  <c r="T16" s="1"/>
  <c r="U16" s="1"/>
  <c r="W16"/>
  <c r="X16"/>
  <c r="I17"/>
  <c r="J17" s="1"/>
  <c r="K17" s="1"/>
  <c r="O17"/>
  <c r="V17"/>
  <c r="W17"/>
  <c r="X17"/>
  <c r="O18"/>
  <c r="I18" s="1"/>
  <c r="J18" s="1"/>
  <c r="K18" s="1"/>
  <c r="V18"/>
  <c r="W18"/>
  <c r="X18"/>
  <c r="S18" s="1"/>
  <c r="T18" s="1"/>
  <c r="U18" s="1"/>
  <c r="O19"/>
  <c r="I19" s="1"/>
  <c r="J19" s="1"/>
  <c r="K19" s="1"/>
  <c r="V19"/>
  <c r="S19" s="1"/>
  <c r="T19" s="1"/>
  <c r="U19" s="1"/>
  <c r="W19"/>
  <c r="X19"/>
  <c r="O20"/>
  <c r="I20"/>
  <c r="J20" s="1"/>
  <c r="K20" s="1"/>
  <c r="V20"/>
  <c r="S20" s="1"/>
  <c r="T20" s="1"/>
  <c r="U20" s="1"/>
  <c r="W20"/>
  <c r="X20"/>
  <c r="O21"/>
  <c r="I21" s="1"/>
  <c r="J21" s="1"/>
  <c r="K21" s="1"/>
  <c r="V21"/>
  <c r="S21" s="1"/>
  <c r="T21" s="1"/>
  <c r="U21" s="1"/>
  <c r="W21"/>
  <c r="X21"/>
  <c r="O22"/>
  <c r="I22"/>
  <c r="J22" s="1"/>
  <c r="K22" s="1"/>
  <c r="V22"/>
  <c r="S22" s="1"/>
  <c r="T22" s="1"/>
  <c r="U22" s="1"/>
  <c r="W22"/>
  <c r="X22"/>
  <c r="O23"/>
  <c r="I23" s="1"/>
  <c r="J23" s="1"/>
  <c r="K23" s="1"/>
  <c r="V23"/>
  <c r="W23"/>
  <c r="X23"/>
  <c r="I24"/>
  <c r="J24" s="1"/>
  <c r="K24" s="1"/>
  <c r="O24"/>
  <c r="V24"/>
  <c r="S24" s="1"/>
  <c r="T24" s="1"/>
  <c r="U24" s="1"/>
  <c r="W24"/>
  <c r="X24"/>
  <c r="I25"/>
  <c r="J25" s="1"/>
  <c r="K25" s="1"/>
  <c r="O25"/>
  <c r="V25"/>
  <c r="W25"/>
  <c r="X25"/>
  <c r="O26"/>
  <c r="I26" s="1"/>
  <c r="J26" s="1"/>
  <c r="K26" s="1"/>
  <c r="V26"/>
  <c r="W26"/>
  <c r="X26"/>
  <c r="S26" s="1"/>
  <c r="T26" s="1"/>
  <c r="U26" s="1"/>
  <c r="O27"/>
  <c r="I27" s="1"/>
  <c r="J27" s="1"/>
  <c r="K27" s="1"/>
  <c r="V27"/>
  <c r="W27"/>
  <c r="S27" s="1"/>
  <c r="T27" s="1"/>
  <c r="U27" s="1"/>
  <c r="X27"/>
  <c r="O28"/>
  <c r="I28"/>
  <c r="J28" s="1"/>
  <c r="K28" s="1"/>
  <c r="V28"/>
  <c r="S28" s="1"/>
  <c r="T28" s="1"/>
  <c r="U28" s="1"/>
  <c r="W28"/>
  <c r="X28"/>
  <c r="O29"/>
  <c r="I29" s="1"/>
  <c r="J29" s="1"/>
  <c r="K29" s="1"/>
  <c r="V29"/>
  <c r="W29"/>
  <c r="S29" s="1"/>
  <c r="T29" s="1"/>
  <c r="U29" s="1"/>
  <c r="X29"/>
  <c r="O30"/>
  <c r="I30"/>
  <c r="J30" s="1"/>
  <c r="K30" s="1"/>
  <c r="V30"/>
  <c r="S30" s="1"/>
  <c r="T30" s="1"/>
  <c r="U30" s="1"/>
  <c r="W30"/>
  <c r="X30"/>
  <c r="D32"/>
  <c r="E32"/>
  <c r="F32"/>
  <c r="G32"/>
  <c r="H32"/>
  <c r="L32"/>
  <c r="M32"/>
  <c r="N32"/>
  <c r="P32"/>
  <c r="Q32"/>
  <c r="R32"/>
  <c r="Y32"/>
  <c r="Z32"/>
  <c r="AA32"/>
  <c r="AB32"/>
  <c r="AC32"/>
  <c r="AD32"/>
  <c r="C33"/>
  <c r="I33"/>
  <c r="J33"/>
  <c r="O33"/>
  <c r="T33"/>
  <c r="U33" s="1"/>
  <c r="W33"/>
  <c r="X33"/>
  <c r="C34"/>
  <c r="I34"/>
  <c r="J34"/>
  <c r="K34" s="1"/>
  <c r="O34"/>
  <c r="U34"/>
  <c r="W34"/>
  <c r="X34"/>
  <c r="C35"/>
  <c r="I35"/>
  <c r="J35"/>
  <c r="K35" s="1"/>
  <c r="O35"/>
  <c r="W35"/>
  <c r="S35"/>
  <c r="X35"/>
  <c r="C36"/>
  <c r="I36"/>
  <c r="J36" s="1"/>
  <c r="K36" s="1"/>
  <c r="O36"/>
  <c r="T36"/>
  <c r="W36"/>
  <c r="X36"/>
  <c r="C37"/>
  <c r="I37"/>
  <c r="J37" s="1"/>
  <c r="K37" s="1"/>
  <c r="O37"/>
  <c r="U37"/>
  <c r="W37"/>
  <c r="X37"/>
  <c r="O38"/>
  <c r="I38" s="1"/>
  <c r="J38" s="1"/>
  <c r="K38" s="1"/>
  <c r="V38"/>
  <c r="W38"/>
  <c r="X38"/>
  <c r="I39"/>
  <c r="J39" s="1"/>
  <c r="K39"/>
  <c r="O39"/>
  <c r="V39"/>
  <c r="W39"/>
  <c r="S39"/>
  <c r="T39" s="1"/>
  <c r="U39" s="1"/>
  <c r="X39"/>
  <c r="O40"/>
  <c r="I40" s="1"/>
  <c r="J40" s="1"/>
  <c r="K40" s="1"/>
  <c r="V40"/>
  <c r="W40"/>
  <c r="S40" s="1"/>
  <c r="T40" s="1"/>
  <c r="U40" s="1"/>
  <c r="X40"/>
  <c r="I41"/>
  <c r="J41" s="1"/>
  <c r="K41"/>
  <c r="O41"/>
  <c r="V41"/>
  <c r="W41"/>
  <c r="X41"/>
  <c r="K42"/>
  <c r="O42"/>
  <c r="I42"/>
  <c r="J42" s="1"/>
  <c r="V42"/>
  <c r="S42" s="1"/>
  <c r="T42" s="1"/>
  <c r="U42" s="1"/>
  <c r="W42"/>
  <c r="X42"/>
  <c r="I43"/>
  <c r="J43" s="1"/>
  <c r="K43"/>
  <c r="O43"/>
  <c r="V43"/>
  <c r="W43"/>
  <c r="S43"/>
  <c r="T43" s="1"/>
  <c r="U43" s="1"/>
  <c r="X43"/>
  <c r="O44"/>
  <c r="I44" s="1"/>
  <c r="J44" s="1"/>
  <c r="K44" s="1"/>
  <c r="V44"/>
  <c r="W44"/>
  <c r="S44" s="1"/>
  <c r="T44" s="1"/>
  <c r="U44" s="1"/>
  <c r="X44"/>
  <c r="I45"/>
  <c r="J45" s="1"/>
  <c r="K45"/>
  <c r="O45"/>
  <c r="V45"/>
  <c r="W45"/>
  <c r="X45"/>
  <c r="K46"/>
  <c r="O46"/>
  <c r="I46"/>
  <c r="J46" s="1"/>
  <c r="V46"/>
  <c r="S46" s="1"/>
  <c r="T46" s="1"/>
  <c r="U46" s="1"/>
  <c r="W46"/>
  <c r="X46"/>
  <c r="I47"/>
  <c r="J47" s="1"/>
  <c r="K47"/>
  <c r="O47"/>
  <c r="V47"/>
  <c r="W47"/>
  <c r="S47"/>
  <c r="T47" s="1"/>
  <c r="U47" s="1"/>
  <c r="X47"/>
  <c r="O48"/>
  <c r="I48" s="1"/>
  <c r="J48" s="1"/>
  <c r="K48" s="1"/>
  <c r="V48"/>
  <c r="W48"/>
  <c r="S48" s="1"/>
  <c r="T48" s="1"/>
  <c r="U48" s="1"/>
  <c r="X48"/>
  <c r="I49"/>
  <c r="J49" s="1"/>
  <c r="K49"/>
  <c r="O49"/>
  <c r="V49"/>
  <c r="W49"/>
  <c r="X49"/>
  <c r="K50"/>
  <c r="O50"/>
  <c r="I50"/>
  <c r="J50" s="1"/>
  <c r="V50"/>
  <c r="S50" s="1"/>
  <c r="T50" s="1"/>
  <c r="U50" s="1"/>
  <c r="W50"/>
  <c r="X50"/>
  <c r="I51"/>
  <c r="J51" s="1"/>
  <c r="K51"/>
  <c r="O51"/>
  <c r="V51"/>
  <c r="W51"/>
  <c r="S51"/>
  <c r="T51" s="1"/>
  <c r="U51" s="1"/>
  <c r="X51"/>
  <c r="O52"/>
  <c r="I52" s="1"/>
  <c r="J52" s="1"/>
  <c r="K52" s="1"/>
  <c r="V52"/>
  <c r="W52"/>
  <c r="S52" s="1"/>
  <c r="T52" s="1"/>
  <c r="U52" s="1"/>
  <c r="X52"/>
  <c r="D56"/>
  <c r="E56"/>
  <c r="F56"/>
  <c r="G56"/>
  <c r="H56"/>
  <c r="L56"/>
  <c r="M56"/>
  <c r="N56"/>
  <c r="P56"/>
  <c r="Q56"/>
  <c r="R56"/>
  <c r="Y56"/>
  <c r="Z56"/>
  <c r="AA56"/>
  <c r="AB56"/>
  <c r="AC56"/>
  <c r="AD56"/>
  <c r="C57"/>
  <c r="C56"/>
  <c r="I57"/>
  <c r="O57"/>
  <c r="S57"/>
  <c r="T57" s="1"/>
  <c r="U57" s="1"/>
  <c r="W57"/>
  <c r="X57"/>
  <c r="I58"/>
  <c r="J58"/>
  <c r="K58" s="1"/>
  <c r="O58"/>
  <c r="V58"/>
  <c r="W58"/>
  <c r="W56" s="1"/>
  <c r="X58"/>
  <c r="I59"/>
  <c r="J59" s="1"/>
  <c r="K59"/>
  <c r="O59"/>
  <c r="V59"/>
  <c r="W59"/>
  <c r="S59"/>
  <c r="T59" s="1"/>
  <c r="U59" s="1"/>
  <c r="X59"/>
  <c r="X56" s="1"/>
  <c r="I60"/>
  <c r="J60" s="1"/>
  <c r="K60" s="1"/>
  <c r="O60"/>
  <c r="V60"/>
  <c r="W60"/>
  <c r="X60"/>
  <c r="I61"/>
  <c r="J61" s="1"/>
  <c r="K61"/>
  <c r="O61"/>
  <c r="V61"/>
  <c r="W61"/>
  <c r="S61"/>
  <c r="T61" s="1"/>
  <c r="U61" s="1"/>
  <c r="X61"/>
  <c r="O62"/>
  <c r="I62" s="1"/>
  <c r="J62" s="1"/>
  <c r="K62" s="1"/>
  <c r="V62"/>
  <c r="W62"/>
  <c r="S62" s="1"/>
  <c r="T62" s="1"/>
  <c r="U62" s="1"/>
  <c r="X62"/>
  <c r="I63"/>
  <c r="J63" s="1"/>
  <c r="K63"/>
  <c r="O63"/>
  <c r="V63"/>
  <c r="S63" s="1"/>
  <c r="T63" s="1"/>
  <c r="U63" s="1"/>
  <c r="W63"/>
  <c r="X63"/>
  <c r="D65"/>
  <c r="E65"/>
  <c r="F65"/>
  <c r="G65"/>
  <c r="H65"/>
  <c r="L65"/>
  <c r="M65"/>
  <c r="N65"/>
  <c r="P65"/>
  <c r="Q65"/>
  <c r="R65"/>
  <c r="Z65"/>
  <c r="Z186" s="1"/>
  <c r="AB65"/>
  <c r="AC65"/>
  <c r="AD65"/>
  <c r="AD186" s="1"/>
  <c r="C66"/>
  <c r="I66"/>
  <c r="O66"/>
  <c r="U66"/>
  <c r="V66"/>
  <c r="W66"/>
  <c r="X66"/>
  <c r="Y66"/>
  <c r="C67"/>
  <c r="I67"/>
  <c r="J67"/>
  <c r="K67" s="1"/>
  <c r="O67"/>
  <c r="V67"/>
  <c r="W67"/>
  <c r="S67" s="1"/>
  <c r="T67" s="1"/>
  <c r="X67"/>
  <c r="AA67"/>
  <c r="C68"/>
  <c r="I68"/>
  <c r="J68" s="1"/>
  <c r="K68" s="1"/>
  <c r="O68"/>
  <c r="V68"/>
  <c r="V65" s="1"/>
  <c r="W68"/>
  <c r="X68"/>
  <c r="AA68"/>
  <c r="Y68" s="1"/>
  <c r="C69"/>
  <c r="I69"/>
  <c r="J69"/>
  <c r="K69" s="1"/>
  <c r="O69"/>
  <c r="V69"/>
  <c r="S69" s="1"/>
  <c r="T69"/>
  <c r="U69" s="1"/>
  <c r="W69"/>
  <c r="X69"/>
  <c r="AA69"/>
  <c r="Y69" s="1"/>
  <c r="C70"/>
  <c r="I70"/>
  <c r="J70" s="1"/>
  <c r="K70" s="1"/>
  <c r="O70"/>
  <c r="V70"/>
  <c r="W70"/>
  <c r="X70"/>
  <c r="AA70"/>
  <c r="Y70" s="1"/>
  <c r="C71"/>
  <c r="I71"/>
  <c r="J71" s="1"/>
  <c r="K71" s="1"/>
  <c r="O71"/>
  <c r="W71"/>
  <c r="X71"/>
  <c r="S71" s="1"/>
  <c r="T71" s="1"/>
  <c r="U71" s="1"/>
  <c r="AA71"/>
  <c r="Y71" s="1"/>
  <c r="C72"/>
  <c r="I72"/>
  <c r="O72"/>
  <c r="V72"/>
  <c r="W72"/>
  <c r="X72"/>
  <c r="AA72"/>
  <c r="Y72" s="1"/>
  <c r="C73"/>
  <c r="I73"/>
  <c r="J73"/>
  <c r="K73" s="1"/>
  <c r="O73"/>
  <c r="V73"/>
  <c r="W73"/>
  <c r="X73"/>
  <c r="S73" s="1"/>
  <c r="T73" s="1"/>
  <c r="U73" s="1"/>
  <c r="AA73"/>
  <c r="Y73"/>
  <c r="C74"/>
  <c r="I74"/>
  <c r="J74" s="1"/>
  <c r="K74" s="1"/>
  <c r="O74"/>
  <c r="V74"/>
  <c r="S74"/>
  <c r="T74" s="1"/>
  <c r="U74" s="1"/>
  <c r="W74"/>
  <c r="X74"/>
  <c r="Y74"/>
  <c r="AA74"/>
  <c r="C75"/>
  <c r="I75"/>
  <c r="J75"/>
  <c r="K75" s="1"/>
  <c r="O75"/>
  <c r="V75"/>
  <c r="W75"/>
  <c r="X75"/>
  <c r="Y75"/>
  <c r="AA75"/>
  <c r="C76"/>
  <c r="I76"/>
  <c r="J76"/>
  <c r="K76" s="1"/>
  <c r="O76"/>
  <c r="V76"/>
  <c r="W76"/>
  <c r="X76"/>
  <c r="S76"/>
  <c r="T76" s="1"/>
  <c r="U76" s="1"/>
  <c r="AA76"/>
  <c r="Y76"/>
  <c r="C77"/>
  <c r="I77"/>
  <c r="J77" s="1"/>
  <c r="K77"/>
  <c r="O77"/>
  <c r="U77"/>
  <c r="V77"/>
  <c r="W77"/>
  <c r="S77" s="1"/>
  <c r="T77" s="1"/>
  <c r="X77"/>
  <c r="AA77"/>
  <c r="Y77" s="1"/>
  <c r="C78"/>
  <c r="I78"/>
  <c r="O78"/>
  <c r="V78"/>
  <c r="S78" s="1"/>
  <c r="W78"/>
  <c r="X78"/>
  <c r="AA78"/>
  <c r="Y78" s="1"/>
  <c r="S79"/>
  <c r="T79"/>
  <c r="U79" s="1"/>
  <c r="Y79"/>
  <c r="AA79"/>
  <c r="C80"/>
  <c r="I80"/>
  <c r="J80"/>
  <c r="K80" s="1"/>
  <c r="O80"/>
  <c r="V80"/>
  <c r="W80"/>
  <c r="X80"/>
  <c r="S80"/>
  <c r="T80" s="1"/>
  <c r="U80" s="1"/>
  <c r="AA80"/>
  <c r="Y80"/>
  <c r="O81"/>
  <c r="I81" s="1"/>
  <c r="J81" s="1"/>
  <c r="K81" s="1"/>
  <c r="W81"/>
  <c r="S81" s="1"/>
  <c r="T81" s="1"/>
  <c r="U81" s="1"/>
  <c r="X81"/>
  <c r="D83"/>
  <c r="E83"/>
  <c r="F83"/>
  <c r="G83"/>
  <c r="H83"/>
  <c r="L83"/>
  <c r="M83"/>
  <c r="N83"/>
  <c r="P83"/>
  <c r="Q83"/>
  <c r="R83"/>
  <c r="Y83"/>
  <c r="Z83"/>
  <c r="AA83"/>
  <c r="AB83"/>
  <c r="AC83"/>
  <c r="AD83"/>
  <c r="C84"/>
  <c r="C83" s="1"/>
  <c r="I84"/>
  <c r="J84" s="1"/>
  <c r="K84" s="1"/>
  <c r="O84"/>
  <c r="W84"/>
  <c r="S84" s="1"/>
  <c r="T84"/>
  <c r="U84" s="1"/>
  <c r="X84"/>
  <c r="C85"/>
  <c r="I85"/>
  <c r="J85"/>
  <c r="O85"/>
  <c r="W85"/>
  <c r="X85"/>
  <c r="S85" s="1"/>
  <c r="O86"/>
  <c r="I86" s="1"/>
  <c r="J86" s="1"/>
  <c r="K86" s="1"/>
  <c r="W86"/>
  <c r="S86"/>
  <c r="T86" s="1"/>
  <c r="U86"/>
  <c r="X86"/>
  <c r="O87"/>
  <c r="I87"/>
  <c r="J87" s="1"/>
  <c r="K87" s="1"/>
  <c r="W87"/>
  <c r="S87" s="1"/>
  <c r="T87"/>
  <c r="U87" s="1"/>
  <c r="X87"/>
  <c r="O88"/>
  <c r="I88" s="1"/>
  <c r="J88" s="1"/>
  <c r="V88"/>
  <c r="S88" s="1"/>
  <c r="T88" s="1"/>
  <c r="U88" s="1"/>
  <c r="W88"/>
  <c r="X88"/>
  <c r="D90"/>
  <c r="E90"/>
  <c r="F90"/>
  <c r="G90"/>
  <c r="H90"/>
  <c r="L90"/>
  <c r="M90"/>
  <c r="N90"/>
  <c r="P90"/>
  <c r="Q90"/>
  <c r="R90"/>
  <c r="Y90"/>
  <c r="Z90"/>
  <c r="AA90"/>
  <c r="AB90"/>
  <c r="AC90"/>
  <c r="AD90"/>
  <c r="C91"/>
  <c r="C90" s="1"/>
  <c r="I91"/>
  <c r="J91" s="1"/>
  <c r="O91"/>
  <c r="O90"/>
  <c r="W91"/>
  <c r="X91"/>
  <c r="C92"/>
  <c r="I92"/>
  <c r="J92" s="1"/>
  <c r="I90"/>
  <c r="O92"/>
  <c r="V92"/>
  <c r="W92"/>
  <c r="X92"/>
  <c r="C93"/>
  <c r="I93"/>
  <c r="J93" s="1"/>
  <c r="K93" s="1"/>
  <c r="O93"/>
  <c r="U93"/>
  <c r="V93"/>
  <c r="W93"/>
  <c r="S93" s="1"/>
  <c r="T93" s="1"/>
  <c r="X93"/>
  <c r="S94"/>
  <c r="T94" s="1"/>
  <c r="U94" s="1"/>
  <c r="L96"/>
  <c r="M96"/>
  <c r="N96"/>
  <c r="P96"/>
  <c r="Q96"/>
  <c r="R96"/>
  <c r="Y96"/>
  <c r="Z96"/>
  <c r="AA96"/>
  <c r="AB96"/>
  <c r="AC96"/>
  <c r="AD96"/>
  <c r="I97"/>
  <c r="O97"/>
  <c r="V97"/>
  <c r="S97" s="1"/>
  <c r="W97"/>
  <c r="W96" s="1"/>
  <c r="X97"/>
  <c r="O98"/>
  <c r="I98" s="1"/>
  <c r="J98" s="1"/>
  <c r="K98" s="1"/>
  <c r="V98"/>
  <c r="W98"/>
  <c r="X98"/>
  <c r="D102"/>
  <c r="E102"/>
  <c r="F102"/>
  <c r="G102"/>
  <c r="H102"/>
  <c r="L102"/>
  <c r="M102"/>
  <c r="N102"/>
  <c r="P102"/>
  <c r="Q102"/>
  <c r="R102"/>
  <c r="W102"/>
  <c r="Y102"/>
  <c r="Z102"/>
  <c r="AA102"/>
  <c r="AB102"/>
  <c r="AC102"/>
  <c r="AD102"/>
  <c r="C103"/>
  <c r="C102"/>
  <c r="I103"/>
  <c r="J103"/>
  <c r="K103" s="1"/>
  <c r="O103"/>
  <c r="W103"/>
  <c r="S103"/>
  <c r="T103" s="1"/>
  <c r="U103" s="1"/>
  <c r="X103"/>
  <c r="C104"/>
  <c r="I104"/>
  <c r="O104"/>
  <c r="W104"/>
  <c r="X104"/>
  <c r="S104" s="1"/>
  <c r="I105"/>
  <c r="J105"/>
  <c r="K105" s="1"/>
  <c r="O105"/>
  <c r="W105"/>
  <c r="S105"/>
  <c r="T105" s="1"/>
  <c r="U105"/>
  <c r="X105"/>
  <c r="I106"/>
  <c r="J106" s="1"/>
  <c r="K106"/>
  <c r="O106"/>
  <c r="V106"/>
  <c r="V102" s="1"/>
  <c r="S106"/>
  <c r="T106" s="1"/>
  <c r="U106" s="1"/>
  <c r="W106"/>
  <c r="X106"/>
  <c r="I107"/>
  <c r="J107" s="1"/>
  <c r="K107" s="1"/>
  <c r="O107"/>
  <c r="V107"/>
  <c r="S107" s="1"/>
  <c r="T107" s="1"/>
  <c r="U107" s="1"/>
  <c r="W107"/>
  <c r="X107"/>
  <c r="D109"/>
  <c r="E109"/>
  <c r="F109"/>
  <c r="G109"/>
  <c r="H109"/>
  <c r="L109"/>
  <c r="M109"/>
  <c r="N109"/>
  <c r="P109"/>
  <c r="Q109"/>
  <c r="R109"/>
  <c r="Y109"/>
  <c r="Z109"/>
  <c r="AA109"/>
  <c r="AB109"/>
  <c r="AC109"/>
  <c r="AD109"/>
  <c r="C110"/>
  <c r="C109" s="1"/>
  <c r="I110"/>
  <c r="J110" s="1"/>
  <c r="O110"/>
  <c r="O109"/>
  <c r="W110"/>
  <c r="X110"/>
  <c r="O111"/>
  <c r="I111" s="1"/>
  <c r="V111"/>
  <c r="V109" s="1"/>
  <c r="W111"/>
  <c r="S111"/>
  <c r="T111" s="1"/>
  <c r="U111" s="1"/>
  <c r="X111"/>
  <c r="D113"/>
  <c r="E113"/>
  <c r="F113"/>
  <c r="G113"/>
  <c r="H113"/>
  <c r="L113"/>
  <c r="M113"/>
  <c r="N113"/>
  <c r="P113"/>
  <c r="Q113"/>
  <c r="R113"/>
  <c r="Y113"/>
  <c r="Z113"/>
  <c r="AA113"/>
  <c r="AB113"/>
  <c r="AC113"/>
  <c r="AD113"/>
  <c r="C114"/>
  <c r="C113" s="1"/>
  <c r="I114"/>
  <c r="O114"/>
  <c r="W114"/>
  <c r="X114"/>
  <c r="I115"/>
  <c r="J115" s="1"/>
  <c r="O115"/>
  <c r="V115"/>
  <c r="W115"/>
  <c r="X115"/>
  <c r="S115"/>
  <c r="T115" s="1"/>
  <c r="U115" s="1"/>
  <c r="I116"/>
  <c r="J116"/>
  <c r="K116" s="1"/>
  <c r="O116"/>
  <c r="V116"/>
  <c r="S116" s="1"/>
  <c r="T116" s="1"/>
  <c r="U116" s="1"/>
  <c r="W116"/>
  <c r="X116"/>
  <c r="O117"/>
  <c r="I117" s="1"/>
  <c r="J117" s="1"/>
  <c r="K117" s="1"/>
  <c r="V117"/>
  <c r="W117"/>
  <c r="X117"/>
  <c r="S117"/>
  <c r="T117" s="1"/>
  <c r="U117" s="1"/>
  <c r="O118"/>
  <c r="I118" s="1"/>
  <c r="J118" s="1"/>
  <c r="K118" s="1"/>
  <c r="V118"/>
  <c r="W118"/>
  <c r="X118"/>
  <c r="S118" s="1"/>
  <c r="T118" s="1"/>
  <c r="U118" s="1"/>
  <c r="D120"/>
  <c r="E120"/>
  <c r="F120"/>
  <c r="G120"/>
  <c r="H120"/>
  <c r="L120"/>
  <c r="M120"/>
  <c r="N120"/>
  <c r="P120"/>
  <c r="Q120"/>
  <c r="R120"/>
  <c r="Y120"/>
  <c r="Z120"/>
  <c r="AA120"/>
  <c r="AB120"/>
  <c r="AC120"/>
  <c r="AD120"/>
  <c r="C121"/>
  <c r="C120" s="1"/>
  <c r="I121"/>
  <c r="O121"/>
  <c r="W121"/>
  <c r="X121"/>
  <c r="I122"/>
  <c r="J122"/>
  <c r="K122" s="1"/>
  <c r="O122"/>
  <c r="W122"/>
  <c r="S122" s="1"/>
  <c r="T122" s="1"/>
  <c r="U122" s="1"/>
  <c r="X122"/>
  <c r="I123"/>
  <c r="J123" s="1"/>
  <c r="K123" s="1"/>
  <c r="O123"/>
  <c r="V123"/>
  <c r="V120" s="1"/>
  <c r="W123"/>
  <c r="X123"/>
  <c r="I124"/>
  <c r="J124"/>
  <c r="K124" s="1"/>
  <c r="O124"/>
  <c r="V124"/>
  <c r="W124"/>
  <c r="X124"/>
  <c r="I125"/>
  <c r="J125"/>
  <c r="K125" s="1"/>
  <c r="O125"/>
  <c r="V125"/>
  <c r="S125" s="1"/>
  <c r="T125" s="1"/>
  <c r="U125" s="1"/>
  <c r="W125"/>
  <c r="X125"/>
  <c r="O126"/>
  <c r="I126" s="1"/>
  <c r="J126" s="1"/>
  <c r="K126" s="1"/>
  <c r="V126"/>
  <c r="W126"/>
  <c r="S126" s="1"/>
  <c r="T126" s="1"/>
  <c r="U126" s="1"/>
  <c r="X126"/>
  <c r="J127"/>
  <c r="K127" s="1"/>
  <c r="O127"/>
  <c r="I127" s="1"/>
  <c r="V127"/>
  <c r="W127"/>
  <c r="X127"/>
  <c r="D129"/>
  <c r="E129"/>
  <c r="F129"/>
  <c r="G129"/>
  <c r="H129"/>
  <c r="L129"/>
  <c r="M129"/>
  <c r="N129"/>
  <c r="P129"/>
  <c r="Q129"/>
  <c r="R129"/>
  <c r="W129"/>
  <c r="Y129"/>
  <c r="Z129"/>
  <c r="AA129"/>
  <c r="AB129"/>
  <c r="AC129"/>
  <c r="AD129"/>
  <c r="C130"/>
  <c r="C129"/>
  <c r="I130"/>
  <c r="J130"/>
  <c r="O130"/>
  <c r="O129" s="1"/>
  <c r="W130"/>
  <c r="S130"/>
  <c r="T130" s="1"/>
  <c r="U130" s="1"/>
  <c r="X130"/>
  <c r="I131"/>
  <c r="J131"/>
  <c r="O131"/>
  <c r="W131"/>
  <c r="X131"/>
  <c r="I132"/>
  <c r="J132" s="1"/>
  <c r="K132" s="1"/>
  <c r="O132"/>
  <c r="V132"/>
  <c r="S132" s="1"/>
  <c r="T132" s="1"/>
  <c r="W132"/>
  <c r="U132"/>
  <c r="X132"/>
  <c r="I133"/>
  <c r="J133" s="1"/>
  <c r="K133"/>
  <c r="O133"/>
  <c r="V133"/>
  <c r="S133" s="1"/>
  <c r="T133" s="1"/>
  <c r="U133" s="1"/>
  <c r="W133"/>
  <c r="X133"/>
  <c r="I134"/>
  <c r="J134" s="1"/>
  <c r="K134" s="1"/>
  <c r="O134"/>
  <c r="V134"/>
  <c r="S134" s="1"/>
  <c r="T134" s="1"/>
  <c r="W134"/>
  <c r="U134"/>
  <c r="X134"/>
  <c r="I135"/>
  <c r="J135" s="1"/>
  <c r="K135"/>
  <c r="O135"/>
  <c r="V135"/>
  <c r="S135" s="1"/>
  <c r="T135"/>
  <c r="U135" s="1"/>
  <c r="W135"/>
  <c r="X135"/>
  <c r="I136"/>
  <c r="J136" s="1"/>
  <c r="K136" s="1"/>
  <c r="O136"/>
  <c r="V136"/>
  <c r="S136" s="1"/>
  <c r="T136" s="1"/>
  <c r="U136" s="1"/>
  <c r="W136"/>
  <c r="X136"/>
  <c r="I137"/>
  <c r="J137" s="1"/>
  <c r="K137" s="1"/>
  <c r="O137"/>
  <c r="V137"/>
  <c r="S137" s="1"/>
  <c r="T137"/>
  <c r="U137" s="1"/>
  <c r="W137"/>
  <c r="X137"/>
  <c r="I138"/>
  <c r="J138" s="1"/>
  <c r="K138" s="1"/>
  <c r="O138"/>
  <c r="V138"/>
  <c r="S138" s="1"/>
  <c r="T138" s="1"/>
  <c r="U138" s="1"/>
  <c r="W138"/>
  <c r="X138"/>
  <c r="O139"/>
  <c r="I139" s="1"/>
  <c r="J139" s="1"/>
  <c r="K139" s="1"/>
  <c r="V139"/>
  <c r="S139"/>
  <c r="T139" s="1"/>
  <c r="U139" s="1"/>
  <c r="W139"/>
  <c r="X139"/>
  <c r="L141"/>
  <c r="M141"/>
  <c r="N141"/>
  <c r="P141"/>
  <c r="Q141"/>
  <c r="R141"/>
  <c r="Y141"/>
  <c r="Z141"/>
  <c r="AA141"/>
  <c r="AB141"/>
  <c r="AC141"/>
  <c r="AD141"/>
  <c r="O142"/>
  <c r="W142"/>
  <c r="X142"/>
  <c r="I143"/>
  <c r="J143" s="1"/>
  <c r="K143" s="1"/>
  <c r="O143"/>
  <c r="V143"/>
  <c r="W143"/>
  <c r="X143"/>
  <c r="AB143" s="1"/>
  <c r="X141"/>
  <c r="Y143"/>
  <c r="Z143" s="1"/>
  <c r="AA143" s="1"/>
  <c r="AC143"/>
  <c r="AD143"/>
  <c r="O144"/>
  <c r="I144" s="1"/>
  <c r="J144" s="1"/>
  <c r="K144" s="1"/>
  <c r="V144"/>
  <c r="W144"/>
  <c r="X144"/>
  <c r="Y144"/>
  <c r="Z144" s="1"/>
  <c r="AA144" s="1"/>
  <c r="AB144"/>
  <c r="AC144"/>
  <c r="AD144"/>
  <c r="I145"/>
  <c r="J145" s="1"/>
  <c r="K145" s="1"/>
  <c r="O145"/>
  <c r="V145"/>
  <c r="W145"/>
  <c r="X145"/>
  <c r="AB145" s="1"/>
  <c r="Y145" s="1"/>
  <c r="Z145" s="1"/>
  <c r="AA145" s="1"/>
  <c r="AC145"/>
  <c r="AD145"/>
  <c r="J146"/>
  <c r="K146" s="1"/>
  <c r="O146"/>
  <c r="I146" s="1"/>
  <c r="V146"/>
  <c r="W146"/>
  <c r="S146" s="1"/>
  <c r="T146" s="1"/>
  <c r="U146" s="1"/>
  <c r="X146"/>
  <c r="AB146" s="1"/>
  <c r="Y146" s="1"/>
  <c r="Z146" s="1"/>
  <c r="AA146" s="1"/>
  <c r="AC146"/>
  <c r="AD146"/>
  <c r="J147"/>
  <c r="K147" s="1"/>
  <c r="O147"/>
  <c r="I147" s="1"/>
  <c r="V147"/>
  <c r="W147"/>
  <c r="S147" s="1"/>
  <c r="T147" s="1"/>
  <c r="U147" s="1"/>
  <c r="X147"/>
  <c r="AB147" s="1"/>
  <c r="Y147" s="1"/>
  <c r="Z147" s="1"/>
  <c r="AA147" s="1"/>
  <c r="AC147"/>
  <c r="AD147"/>
  <c r="L149"/>
  <c r="M149"/>
  <c r="N149"/>
  <c r="P149"/>
  <c r="Q149"/>
  <c r="R149"/>
  <c r="O150"/>
  <c r="I150" s="1"/>
  <c r="S150"/>
  <c r="T150" s="1"/>
  <c r="V150"/>
  <c r="V149" s="1"/>
  <c r="W150"/>
  <c r="W149" s="1"/>
  <c r="X150"/>
  <c r="X149" s="1"/>
  <c r="Y150"/>
  <c r="AB150"/>
  <c r="AB149" s="1"/>
  <c r="AC150"/>
  <c r="AC149" s="1"/>
  <c r="AD150"/>
  <c r="AD149" s="1"/>
  <c r="O151"/>
  <c r="I151" s="1"/>
  <c r="J151" s="1"/>
  <c r="K151" s="1"/>
  <c r="V151"/>
  <c r="W151"/>
  <c r="S151" s="1"/>
  <c r="T151" s="1"/>
  <c r="U151" s="1"/>
  <c r="X151"/>
  <c r="Y151"/>
  <c r="Z151" s="1"/>
  <c r="AA151" s="1"/>
  <c r="AB151"/>
  <c r="AC151"/>
  <c r="AD151"/>
  <c r="O152"/>
  <c r="I152" s="1"/>
  <c r="J152"/>
  <c r="K152" s="1"/>
  <c r="U152"/>
  <c r="V152"/>
  <c r="W152"/>
  <c r="S152" s="1"/>
  <c r="T152" s="1"/>
  <c r="X152"/>
  <c r="Y152"/>
  <c r="Z152" s="1"/>
  <c r="AA152" s="1"/>
  <c r="AB152"/>
  <c r="AC152"/>
  <c r="AD152"/>
  <c r="O153"/>
  <c r="I153" s="1"/>
  <c r="J153" s="1"/>
  <c r="K153" s="1"/>
  <c r="V153"/>
  <c r="W153"/>
  <c r="S153" s="1"/>
  <c r="T153" s="1"/>
  <c r="U153" s="1"/>
  <c r="X153"/>
  <c r="Y153"/>
  <c r="Z153" s="1"/>
  <c r="AA153" s="1"/>
  <c r="AB153"/>
  <c r="AC153"/>
  <c r="AD153"/>
  <c r="L155"/>
  <c r="M155"/>
  <c r="N155"/>
  <c r="P155"/>
  <c r="Q155"/>
  <c r="R155"/>
  <c r="Y155"/>
  <c r="Z155"/>
  <c r="AA155"/>
  <c r="AB155"/>
  <c r="AC155"/>
  <c r="AD155"/>
  <c r="I156"/>
  <c r="J156" s="1"/>
  <c r="K156"/>
  <c r="O156"/>
  <c r="W156"/>
  <c r="X156"/>
  <c r="S156"/>
  <c r="O157"/>
  <c r="I157" s="1"/>
  <c r="V157"/>
  <c r="W157"/>
  <c r="X157"/>
  <c r="X155" s="1"/>
  <c r="O158"/>
  <c r="V158"/>
  <c r="W158"/>
  <c r="S158" s="1"/>
  <c r="T158" s="1"/>
  <c r="U158" s="1"/>
  <c r="X158"/>
  <c r="D161"/>
  <c r="E161"/>
  <c r="F161"/>
  <c r="G161"/>
  <c r="H161"/>
  <c r="L161"/>
  <c r="M161"/>
  <c r="N161"/>
  <c r="P161"/>
  <c r="Q161"/>
  <c r="R161"/>
  <c r="Y161"/>
  <c r="Z161"/>
  <c r="AA161"/>
  <c r="AB161"/>
  <c r="AC161"/>
  <c r="AD161"/>
  <c r="S162"/>
  <c r="T162"/>
  <c r="C165"/>
  <c r="I165"/>
  <c r="J165" s="1"/>
  <c r="O165"/>
  <c r="W165"/>
  <c r="S165" s="1"/>
  <c r="T165" s="1"/>
  <c r="U165" s="1"/>
  <c r="X165"/>
  <c r="C166"/>
  <c r="I166"/>
  <c r="J166"/>
  <c r="K166" s="1"/>
  <c r="O166"/>
  <c r="W166"/>
  <c r="X166"/>
  <c r="C167"/>
  <c r="I167"/>
  <c r="J167" s="1"/>
  <c r="K167"/>
  <c r="O167"/>
  <c r="V167"/>
  <c r="S167" s="1"/>
  <c r="T167" s="1"/>
  <c r="U167" s="1"/>
  <c r="W167"/>
  <c r="X167"/>
  <c r="C168"/>
  <c r="I168"/>
  <c r="J168" s="1"/>
  <c r="K168" s="1"/>
  <c r="O168"/>
  <c r="V168"/>
  <c r="W168"/>
  <c r="X168"/>
  <c r="C169"/>
  <c r="I169"/>
  <c r="J169" s="1"/>
  <c r="K169" s="1"/>
  <c r="O169"/>
  <c r="W169"/>
  <c r="S169" s="1"/>
  <c r="T169"/>
  <c r="U169" s="1"/>
  <c r="X169"/>
  <c r="C170"/>
  <c r="I170"/>
  <c r="J170" s="1"/>
  <c r="K170" s="1"/>
  <c r="O170"/>
  <c r="V170"/>
  <c r="S170" s="1"/>
  <c r="T170" s="1"/>
  <c r="U170" s="1"/>
  <c r="W170"/>
  <c r="X170"/>
  <c r="C171"/>
  <c r="I171"/>
  <c r="J171"/>
  <c r="K171" s="1"/>
  <c r="O171"/>
  <c r="U171"/>
  <c r="W171"/>
  <c r="S171" s="1"/>
  <c r="T171" s="1"/>
  <c r="X171"/>
  <c r="C172"/>
  <c r="C161" s="1"/>
  <c r="I172"/>
  <c r="J172"/>
  <c r="K172" s="1"/>
  <c r="O172"/>
  <c r="W172"/>
  <c r="S172"/>
  <c r="T172" s="1"/>
  <c r="U172" s="1"/>
  <c r="X172"/>
  <c r="C173"/>
  <c r="I173"/>
  <c r="J173"/>
  <c r="K173" s="1"/>
  <c r="O173"/>
  <c r="W173"/>
  <c r="X173"/>
  <c r="S173" s="1"/>
  <c r="T173" s="1"/>
  <c r="U173" s="1"/>
  <c r="C174"/>
  <c r="I174"/>
  <c r="J174"/>
  <c r="K174" s="1"/>
  <c r="O174"/>
  <c r="W174"/>
  <c r="S174" s="1"/>
  <c r="T174" s="1"/>
  <c r="U174" s="1"/>
  <c r="X174"/>
  <c r="C175"/>
  <c r="I175"/>
  <c r="J175"/>
  <c r="K175" s="1"/>
  <c r="O175"/>
  <c r="W175"/>
  <c r="X175"/>
  <c r="S175" s="1"/>
  <c r="T175" s="1"/>
  <c r="U175" s="1"/>
  <c r="C176"/>
  <c r="I176"/>
  <c r="J176"/>
  <c r="K176" s="1"/>
  <c r="O176"/>
  <c r="W176"/>
  <c r="S176" s="1"/>
  <c r="T176" s="1"/>
  <c r="U176" s="1"/>
  <c r="X176"/>
  <c r="C177"/>
  <c r="I177"/>
  <c r="J177"/>
  <c r="K177" s="1"/>
  <c r="O177"/>
  <c r="U177"/>
  <c r="W177"/>
  <c r="S177" s="1"/>
  <c r="T177" s="1"/>
  <c r="X177"/>
  <c r="C178"/>
  <c r="I178"/>
  <c r="J178" s="1"/>
  <c r="K178" s="1"/>
  <c r="O178"/>
  <c r="W178"/>
  <c r="X178"/>
  <c r="S178"/>
  <c r="T178" s="1"/>
  <c r="C179"/>
  <c r="I179"/>
  <c r="J179"/>
  <c r="K179" s="1"/>
  <c r="O179"/>
  <c r="W179"/>
  <c r="S179"/>
  <c r="T179" s="1"/>
  <c r="U179" s="1"/>
  <c r="X179"/>
  <c r="C180"/>
  <c r="I180"/>
  <c r="J180"/>
  <c r="K180" s="1"/>
  <c r="O180"/>
  <c r="W180"/>
  <c r="S180" s="1"/>
  <c r="T180" s="1"/>
  <c r="U180" s="1"/>
  <c r="X180"/>
  <c r="C181"/>
  <c r="I181"/>
  <c r="J181"/>
  <c r="K181" s="1"/>
  <c r="O181"/>
  <c r="W181"/>
  <c r="S181"/>
  <c r="T181" s="1"/>
  <c r="U181" s="1"/>
  <c r="X181"/>
  <c r="C182"/>
  <c r="I182"/>
  <c r="J182"/>
  <c r="K182" s="1"/>
  <c r="O182"/>
  <c r="V182"/>
  <c r="S182" s="1"/>
  <c r="W182"/>
  <c r="T182"/>
  <c r="U182" s="1"/>
  <c r="X182"/>
  <c r="C183"/>
  <c r="I183"/>
  <c r="J183" s="1"/>
  <c r="K183" s="1"/>
  <c r="O183"/>
  <c r="V183"/>
  <c r="W183"/>
  <c r="X183"/>
  <c r="C184"/>
  <c r="I184"/>
  <c r="J184" s="1"/>
  <c r="K184" s="1"/>
  <c r="O184"/>
  <c r="V184"/>
  <c r="S184" s="1"/>
  <c r="T184" s="1"/>
  <c r="U184" s="1"/>
  <c r="W184"/>
  <c r="X184"/>
  <c r="C185"/>
  <c r="N186"/>
  <c r="C188"/>
  <c r="C220" s="1"/>
  <c r="D188"/>
  <c r="D220" s="1"/>
  <c r="E188"/>
  <c r="F188"/>
  <c r="F220" s="1"/>
  <c r="G188"/>
  <c r="G220" s="1"/>
  <c r="H188"/>
  <c r="M188"/>
  <c r="N188"/>
  <c r="N220" s="1"/>
  <c r="P188"/>
  <c r="Q188"/>
  <c r="R188"/>
  <c r="Z188"/>
  <c r="Z220" s="1"/>
  <c r="AA188"/>
  <c r="AA220"/>
  <c r="AB188"/>
  <c r="AC188"/>
  <c r="AC220" s="1"/>
  <c r="AD188"/>
  <c r="I189"/>
  <c r="L189"/>
  <c r="L188"/>
  <c r="L220" s="1"/>
  <c r="O189"/>
  <c r="V189"/>
  <c r="S189"/>
  <c r="W189"/>
  <c r="X189"/>
  <c r="Y189"/>
  <c r="I190"/>
  <c r="J190" s="1"/>
  <c r="K190" s="1"/>
  <c r="O190"/>
  <c r="V190"/>
  <c r="S190" s="1"/>
  <c r="T190" s="1"/>
  <c r="W190"/>
  <c r="X190"/>
  <c r="Y190"/>
  <c r="I191"/>
  <c r="J191" s="1"/>
  <c r="K191" s="1"/>
  <c r="O191"/>
  <c r="V191"/>
  <c r="S191" s="1"/>
  <c r="T191" s="1"/>
  <c r="U191" s="1"/>
  <c r="W191"/>
  <c r="X191"/>
  <c r="Y191"/>
  <c r="I192"/>
  <c r="J192"/>
  <c r="K192" s="1"/>
  <c r="O192"/>
  <c r="V192"/>
  <c r="W192"/>
  <c r="X192"/>
  <c r="Y192"/>
  <c r="O193"/>
  <c r="I193" s="1"/>
  <c r="J193" s="1"/>
  <c r="K193" s="1"/>
  <c r="V193"/>
  <c r="W193"/>
  <c r="X193"/>
  <c r="S193" s="1"/>
  <c r="T193" s="1"/>
  <c r="U193" s="1"/>
  <c r="O194"/>
  <c r="I194" s="1"/>
  <c r="J194" s="1"/>
  <c r="K194" s="1"/>
  <c r="V194"/>
  <c r="S194" s="1"/>
  <c r="W194"/>
  <c r="T194"/>
  <c r="U194" s="1"/>
  <c r="X194"/>
  <c r="O195"/>
  <c r="I195"/>
  <c r="J195" s="1"/>
  <c r="K195" s="1"/>
  <c r="V195"/>
  <c r="S195" s="1"/>
  <c r="T195" s="1"/>
  <c r="U195" s="1"/>
  <c r="W195"/>
  <c r="X195"/>
  <c r="O196"/>
  <c r="I196" s="1"/>
  <c r="J196" s="1"/>
  <c r="K196" s="1"/>
  <c r="V196"/>
  <c r="W196"/>
  <c r="X196"/>
  <c r="S196"/>
  <c r="T196" s="1"/>
  <c r="U196" s="1"/>
  <c r="O197"/>
  <c r="I197" s="1"/>
  <c r="J197" s="1"/>
  <c r="K197" s="1"/>
  <c r="V197"/>
  <c r="W197"/>
  <c r="X197"/>
  <c r="S197" s="1"/>
  <c r="T197" s="1"/>
  <c r="U197" s="1"/>
  <c r="O198"/>
  <c r="I198" s="1"/>
  <c r="J198" s="1"/>
  <c r="K198" s="1"/>
  <c r="V198"/>
  <c r="S198" s="1"/>
  <c r="W198"/>
  <c r="T198"/>
  <c r="U198" s="1"/>
  <c r="X198"/>
  <c r="O199"/>
  <c r="I199"/>
  <c r="J199" s="1"/>
  <c r="K199" s="1"/>
  <c r="V199"/>
  <c r="S199" s="1"/>
  <c r="T199" s="1"/>
  <c r="U199" s="1"/>
  <c r="W199"/>
  <c r="X199"/>
  <c r="O200"/>
  <c r="I200" s="1"/>
  <c r="J200" s="1"/>
  <c r="K200" s="1"/>
  <c r="V200"/>
  <c r="W200"/>
  <c r="X200"/>
  <c r="S200"/>
  <c r="T200" s="1"/>
  <c r="U200" s="1"/>
  <c r="O201"/>
  <c r="I201" s="1"/>
  <c r="J201" s="1"/>
  <c r="K201" s="1"/>
  <c r="V201"/>
  <c r="W201"/>
  <c r="X201"/>
  <c r="S201" s="1"/>
  <c r="T201" s="1"/>
  <c r="U201" s="1"/>
  <c r="O202"/>
  <c r="I202" s="1"/>
  <c r="J202" s="1"/>
  <c r="K202" s="1"/>
  <c r="V202"/>
  <c r="S202" s="1"/>
  <c r="W202"/>
  <c r="T202"/>
  <c r="U202" s="1"/>
  <c r="X202"/>
  <c r="O203"/>
  <c r="I203"/>
  <c r="J203" s="1"/>
  <c r="K203" s="1"/>
  <c r="V203"/>
  <c r="S203" s="1"/>
  <c r="T203" s="1"/>
  <c r="U203" s="1"/>
  <c r="W203"/>
  <c r="X203"/>
  <c r="O204"/>
  <c r="I204" s="1"/>
  <c r="J204" s="1"/>
  <c r="K204" s="1"/>
  <c r="V204"/>
  <c r="W204"/>
  <c r="X204"/>
  <c r="S204"/>
  <c r="T204" s="1"/>
  <c r="U204" s="1"/>
  <c r="O205"/>
  <c r="I205" s="1"/>
  <c r="J205" s="1"/>
  <c r="K205" s="1"/>
  <c r="V205"/>
  <c r="W205"/>
  <c r="X205"/>
  <c r="S205" s="1"/>
  <c r="T205" s="1"/>
  <c r="U205" s="1"/>
  <c r="O206"/>
  <c r="I206" s="1"/>
  <c r="J206" s="1"/>
  <c r="K206" s="1"/>
  <c r="V206"/>
  <c r="S206" s="1"/>
  <c r="W206"/>
  <c r="T206"/>
  <c r="U206" s="1"/>
  <c r="X206"/>
  <c r="O207"/>
  <c r="I207"/>
  <c r="J207" s="1"/>
  <c r="K207" s="1"/>
  <c r="V207"/>
  <c r="S207" s="1"/>
  <c r="T207" s="1"/>
  <c r="U207" s="1"/>
  <c r="W207"/>
  <c r="X207"/>
  <c r="O208"/>
  <c r="I208" s="1"/>
  <c r="J208" s="1"/>
  <c r="K208" s="1"/>
  <c r="V208"/>
  <c r="W208"/>
  <c r="X208"/>
  <c r="S208"/>
  <c r="T208" s="1"/>
  <c r="U208" s="1"/>
  <c r="O209"/>
  <c r="I209" s="1"/>
  <c r="J209" s="1"/>
  <c r="K209" s="1"/>
  <c r="V209"/>
  <c r="W209"/>
  <c r="X209"/>
  <c r="S209" s="1"/>
  <c r="T209" s="1"/>
  <c r="U209" s="1"/>
  <c r="O210"/>
  <c r="I210" s="1"/>
  <c r="J210" s="1"/>
  <c r="K210" s="1"/>
  <c r="V210"/>
  <c r="W210"/>
  <c r="S210" s="1"/>
  <c r="T210"/>
  <c r="U210" s="1"/>
  <c r="X210"/>
  <c r="O211"/>
  <c r="I211"/>
  <c r="J211" s="1"/>
  <c r="K211" s="1"/>
  <c r="V211"/>
  <c r="S211" s="1"/>
  <c r="T211" s="1"/>
  <c r="U211" s="1"/>
  <c r="W211"/>
  <c r="X211"/>
  <c r="O212"/>
  <c r="I212" s="1"/>
  <c r="J212" s="1"/>
  <c r="K212" s="1"/>
  <c r="V212"/>
  <c r="W212"/>
  <c r="X212"/>
  <c r="S212"/>
  <c r="T212" s="1"/>
  <c r="U212" s="1"/>
  <c r="O213"/>
  <c r="I213" s="1"/>
  <c r="J213" s="1"/>
  <c r="K213" s="1"/>
  <c r="V213"/>
  <c r="W213"/>
  <c r="X213"/>
  <c r="S213" s="1"/>
  <c r="T213" s="1"/>
  <c r="U213" s="1"/>
  <c r="O214"/>
  <c r="I214" s="1"/>
  <c r="J214" s="1"/>
  <c r="K214" s="1"/>
  <c r="V214"/>
  <c r="W214"/>
  <c r="S214" s="1"/>
  <c r="T214"/>
  <c r="U214" s="1"/>
  <c r="X214"/>
  <c r="O215"/>
  <c r="I215"/>
  <c r="J215" s="1"/>
  <c r="K215" s="1"/>
  <c r="V215"/>
  <c r="S215" s="1"/>
  <c r="T215" s="1"/>
  <c r="U215" s="1"/>
  <c r="W215"/>
  <c r="X215"/>
  <c r="O216"/>
  <c r="I216" s="1"/>
  <c r="J216" s="1"/>
  <c r="K216" s="1"/>
  <c r="V216"/>
  <c r="W216"/>
  <c r="X216"/>
  <c r="S216"/>
  <c r="T216" s="1"/>
  <c r="U216" s="1"/>
  <c r="O217"/>
  <c r="I217" s="1"/>
  <c r="J217" s="1"/>
  <c r="K217" s="1"/>
  <c r="V217"/>
  <c r="W217"/>
  <c r="X217"/>
  <c r="S217" s="1"/>
  <c r="T217" s="1"/>
  <c r="U217" s="1"/>
  <c r="O218"/>
  <c r="I218" s="1"/>
  <c r="J218" s="1"/>
  <c r="K218" s="1"/>
  <c r="V218"/>
  <c r="W218"/>
  <c r="S218" s="1"/>
  <c r="T218"/>
  <c r="U218" s="1"/>
  <c r="X218"/>
  <c r="E220"/>
  <c r="H220"/>
  <c r="M220"/>
  <c r="P220"/>
  <c r="Q220"/>
  <c r="R220"/>
  <c r="AB220"/>
  <c r="AD220"/>
  <c r="C222"/>
  <c r="D222"/>
  <c r="E222"/>
  <c r="F222"/>
  <c r="G222"/>
  <c r="H222"/>
  <c r="L222"/>
  <c r="M222"/>
  <c r="N222"/>
  <c r="P222"/>
  <c r="Q222"/>
  <c r="Q291" s="1"/>
  <c r="R222"/>
  <c r="Z222"/>
  <c r="AA222"/>
  <c r="AB222"/>
  <c r="AC222"/>
  <c r="AD222"/>
  <c r="I223"/>
  <c r="J223" s="1"/>
  <c r="K223"/>
  <c r="O223"/>
  <c r="V223"/>
  <c r="W223"/>
  <c r="X223"/>
  <c r="Y223"/>
  <c r="I224"/>
  <c r="J224"/>
  <c r="K224" s="1"/>
  <c r="O224"/>
  <c r="V224"/>
  <c r="W224"/>
  <c r="X224"/>
  <c r="S224" s="1"/>
  <c r="T224" s="1"/>
  <c r="U224" s="1"/>
  <c r="Y224"/>
  <c r="I225"/>
  <c r="J225" s="1"/>
  <c r="K225"/>
  <c r="O225"/>
  <c r="V225"/>
  <c r="W225"/>
  <c r="S225"/>
  <c r="T225" s="1"/>
  <c r="U225" s="1"/>
  <c r="X225"/>
  <c r="Y225"/>
  <c r="I226"/>
  <c r="J226"/>
  <c r="K226" s="1"/>
  <c r="O226"/>
  <c r="V226"/>
  <c r="W226"/>
  <c r="X226"/>
  <c r="Y226"/>
  <c r="I227"/>
  <c r="J227" s="1"/>
  <c r="K227" s="1"/>
  <c r="O227"/>
  <c r="W227"/>
  <c r="S227" s="1"/>
  <c r="T227" s="1"/>
  <c r="U227" s="1"/>
  <c r="X227"/>
  <c r="Y227"/>
  <c r="I228"/>
  <c r="J228" s="1"/>
  <c r="K228" s="1"/>
  <c r="O228"/>
  <c r="V228"/>
  <c r="S228" s="1"/>
  <c r="T228" s="1"/>
  <c r="W228"/>
  <c r="U228"/>
  <c r="X228"/>
  <c r="Y228"/>
  <c r="I229"/>
  <c r="J229"/>
  <c r="K229" s="1"/>
  <c r="O229"/>
  <c r="V229"/>
  <c r="W229"/>
  <c r="X229"/>
  <c r="Y229"/>
  <c r="I230"/>
  <c r="J230"/>
  <c r="K230" s="1"/>
  <c r="O230"/>
  <c r="V230"/>
  <c r="S230" s="1"/>
  <c r="T230" s="1"/>
  <c r="U230" s="1"/>
  <c r="W230"/>
  <c r="X230"/>
  <c r="Y230"/>
  <c r="I231"/>
  <c r="J231" s="1"/>
  <c r="K231" s="1"/>
  <c r="O231"/>
  <c r="U231"/>
  <c r="V231"/>
  <c r="W231"/>
  <c r="S231" s="1"/>
  <c r="T231" s="1"/>
  <c r="X231"/>
  <c r="Y231"/>
  <c r="I232"/>
  <c r="J232"/>
  <c r="K232" s="1"/>
  <c r="O232"/>
  <c r="V232"/>
  <c r="W232"/>
  <c r="X232"/>
  <c r="S232"/>
  <c r="T232" s="1"/>
  <c r="U232" s="1"/>
  <c r="Y232"/>
  <c r="I233"/>
  <c r="J233" s="1"/>
  <c r="K233" s="1"/>
  <c r="O233"/>
  <c r="V233"/>
  <c r="S233" s="1"/>
  <c r="T233" s="1"/>
  <c r="W233"/>
  <c r="U233"/>
  <c r="X233"/>
  <c r="Y233"/>
  <c r="I234"/>
  <c r="O234"/>
  <c r="V234"/>
  <c r="W234"/>
  <c r="X234"/>
  <c r="S234" s="1"/>
  <c r="Y234"/>
  <c r="I235"/>
  <c r="J235" s="1"/>
  <c r="K235"/>
  <c r="O235"/>
  <c r="U235"/>
  <c r="V235"/>
  <c r="W235"/>
  <c r="S235" s="1"/>
  <c r="T235" s="1"/>
  <c r="X235"/>
  <c r="Y235"/>
  <c r="I236"/>
  <c r="O236"/>
  <c r="V236"/>
  <c r="S236"/>
  <c r="W236"/>
  <c r="X236"/>
  <c r="Y236"/>
  <c r="I237"/>
  <c r="O237"/>
  <c r="V237"/>
  <c r="W237"/>
  <c r="X237"/>
  <c r="Y237"/>
  <c r="I238"/>
  <c r="O238"/>
  <c r="V238"/>
  <c r="S238" s="1"/>
  <c r="W238"/>
  <c r="X238"/>
  <c r="Y238"/>
  <c r="I239"/>
  <c r="O239"/>
  <c r="V239"/>
  <c r="S239" s="1"/>
  <c r="W239"/>
  <c r="X239"/>
  <c r="Y239"/>
  <c r="I240"/>
  <c r="O240"/>
  <c r="V240"/>
  <c r="W240"/>
  <c r="X240"/>
  <c r="Y240"/>
  <c r="I241"/>
  <c r="J241"/>
  <c r="K241" s="1"/>
  <c r="O241"/>
  <c r="V241"/>
  <c r="S241" s="1"/>
  <c r="T241" s="1"/>
  <c r="U241" s="1"/>
  <c r="W241"/>
  <c r="X241"/>
  <c r="Y241"/>
  <c r="I242"/>
  <c r="J242" s="1"/>
  <c r="K242" s="1"/>
  <c r="O242"/>
  <c r="V242"/>
  <c r="S242"/>
  <c r="T242" s="1"/>
  <c r="U242" s="1"/>
  <c r="W242"/>
  <c r="X242"/>
  <c r="Y242"/>
  <c r="I243"/>
  <c r="O243"/>
  <c r="W243"/>
  <c r="X243"/>
  <c r="Y243"/>
  <c r="I244"/>
  <c r="J244" s="1"/>
  <c r="K244" s="1"/>
  <c r="O244"/>
  <c r="W244"/>
  <c r="X244"/>
  <c r="S244"/>
  <c r="T244" s="1"/>
  <c r="U244" s="1"/>
  <c r="Y244"/>
  <c r="I245"/>
  <c r="J245" s="1"/>
  <c r="K245" s="1"/>
  <c r="O245"/>
  <c r="V245"/>
  <c r="W245"/>
  <c r="S245" s="1"/>
  <c r="T245" s="1"/>
  <c r="U245" s="1"/>
  <c r="X245"/>
  <c r="Y245"/>
  <c r="I246"/>
  <c r="J246"/>
  <c r="K246" s="1"/>
  <c r="O246"/>
  <c r="V246"/>
  <c r="W246"/>
  <c r="X246"/>
  <c r="Y246"/>
  <c r="I247"/>
  <c r="J247" s="1"/>
  <c r="K247"/>
  <c r="O247"/>
  <c r="W247"/>
  <c r="S247" s="1"/>
  <c r="T247" s="1"/>
  <c r="U247" s="1"/>
  <c r="X247"/>
  <c r="Y247"/>
  <c r="I248"/>
  <c r="J248" s="1"/>
  <c r="K248" s="1"/>
  <c r="O248"/>
  <c r="V248"/>
  <c r="W248"/>
  <c r="X248"/>
  <c r="Y248"/>
  <c r="I249"/>
  <c r="J249"/>
  <c r="K249" s="1"/>
  <c r="O249"/>
  <c r="V249"/>
  <c r="S249" s="1"/>
  <c r="T249" s="1"/>
  <c r="U249" s="1"/>
  <c r="W249"/>
  <c r="X249"/>
  <c r="Y249"/>
  <c r="I250"/>
  <c r="J250" s="1"/>
  <c r="K250" s="1"/>
  <c r="O250"/>
  <c r="V250"/>
  <c r="W250"/>
  <c r="X250"/>
  <c r="Y250"/>
  <c r="I251"/>
  <c r="J251" s="1"/>
  <c r="K251" s="1"/>
  <c r="O251"/>
  <c r="V251"/>
  <c r="S251" s="1"/>
  <c r="T251"/>
  <c r="U251" s="1"/>
  <c r="W251"/>
  <c r="X251"/>
  <c r="Y251"/>
  <c r="I252"/>
  <c r="J252"/>
  <c r="K252" s="1"/>
  <c r="O252"/>
  <c r="V252"/>
  <c r="S252" s="1"/>
  <c r="T252" s="1"/>
  <c r="U252" s="1"/>
  <c r="W252"/>
  <c r="X252"/>
  <c r="Y252"/>
  <c r="I253"/>
  <c r="J253" s="1"/>
  <c r="K253" s="1"/>
  <c r="O253"/>
  <c r="V253"/>
  <c r="S253" s="1"/>
  <c r="T253" s="1"/>
  <c r="U253" s="1"/>
  <c r="W253"/>
  <c r="X253"/>
  <c r="Y253"/>
  <c r="O254"/>
  <c r="I254" s="1"/>
  <c r="J254" s="1"/>
  <c r="V254"/>
  <c r="W254"/>
  <c r="X254"/>
  <c r="Y254"/>
  <c r="O255"/>
  <c r="I255" s="1"/>
  <c r="J255" s="1"/>
  <c r="K255" s="1"/>
  <c r="V255"/>
  <c r="W255"/>
  <c r="X255"/>
  <c r="S255" s="1"/>
  <c r="T255" s="1"/>
  <c r="U255" s="1"/>
  <c r="Y255"/>
  <c r="I256"/>
  <c r="J256" s="1"/>
  <c r="K256"/>
  <c r="O256"/>
  <c r="V256"/>
  <c r="S256" s="1"/>
  <c r="T256" s="1"/>
  <c r="U256" s="1"/>
  <c r="W256"/>
  <c r="X256"/>
  <c r="Y256"/>
  <c r="O257"/>
  <c r="I257" s="1"/>
  <c r="J257" s="1"/>
  <c r="K257" s="1"/>
  <c r="V257"/>
  <c r="S257" s="1"/>
  <c r="W257"/>
  <c r="T257"/>
  <c r="U257" s="1"/>
  <c r="X257"/>
  <c r="Y257"/>
  <c r="I258"/>
  <c r="J258" s="1"/>
  <c r="K258" s="1"/>
  <c r="O258"/>
  <c r="V258"/>
  <c r="W258"/>
  <c r="X258"/>
  <c r="Y258"/>
  <c r="O259"/>
  <c r="I259" s="1"/>
  <c r="J259" s="1"/>
  <c r="K259" s="1"/>
  <c r="V259"/>
  <c r="W259"/>
  <c r="S259" s="1"/>
  <c r="T259" s="1"/>
  <c r="U259" s="1"/>
  <c r="X259"/>
  <c r="Y259"/>
  <c r="J260"/>
  <c r="K260" s="1"/>
  <c r="O260"/>
  <c r="I260" s="1"/>
  <c r="V260"/>
  <c r="W260"/>
  <c r="X260"/>
  <c r="S260" s="1"/>
  <c r="T260" s="1"/>
  <c r="U260" s="1"/>
  <c r="Y260"/>
  <c r="I261"/>
  <c r="J261" s="1"/>
  <c r="K261"/>
  <c r="O261"/>
  <c r="V261"/>
  <c r="W261"/>
  <c r="X261"/>
  <c r="Y261"/>
  <c r="O262"/>
  <c r="I262" s="1"/>
  <c r="J262" s="1"/>
  <c r="K262" s="1"/>
  <c r="V262"/>
  <c r="S262" s="1"/>
  <c r="W262"/>
  <c r="T262"/>
  <c r="U262" s="1"/>
  <c r="X262"/>
  <c r="Y262"/>
  <c r="O263"/>
  <c r="I263" s="1"/>
  <c r="J263" s="1"/>
  <c r="K263" s="1"/>
  <c r="U263"/>
  <c r="V263"/>
  <c r="W263"/>
  <c r="S263" s="1"/>
  <c r="T263" s="1"/>
  <c r="X263"/>
  <c r="Y263"/>
  <c r="O264"/>
  <c r="I264"/>
  <c r="J264" s="1"/>
  <c r="K264" s="1"/>
  <c r="T264"/>
  <c r="U264" s="1"/>
  <c r="V264"/>
  <c r="S264" s="1"/>
  <c r="W264"/>
  <c r="X264"/>
  <c r="Y264"/>
  <c r="I265"/>
  <c r="J265" s="1"/>
  <c r="K265" s="1"/>
  <c r="O265"/>
  <c r="V265"/>
  <c r="S265" s="1"/>
  <c r="T265" s="1"/>
  <c r="U265" s="1"/>
  <c r="W265"/>
  <c r="X265"/>
  <c r="Y265"/>
  <c r="O266"/>
  <c r="I266" s="1"/>
  <c r="J266" s="1"/>
  <c r="K266" s="1"/>
  <c r="V266"/>
  <c r="S266" s="1"/>
  <c r="T266" s="1"/>
  <c r="U266" s="1"/>
  <c r="W266"/>
  <c r="X266"/>
  <c r="Y266"/>
  <c r="O267"/>
  <c r="I267"/>
  <c r="J267" s="1"/>
  <c r="K267" s="1"/>
  <c r="V267"/>
  <c r="S267" s="1"/>
  <c r="T267" s="1"/>
  <c r="U267" s="1"/>
  <c r="W267"/>
  <c r="X267"/>
  <c r="Y267"/>
  <c r="O268"/>
  <c r="I268"/>
  <c r="J268" s="1"/>
  <c r="K268" s="1"/>
  <c r="V268"/>
  <c r="S268" s="1"/>
  <c r="T268" s="1"/>
  <c r="U268" s="1"/>
  <c r="W268"/>
  <c r="X268"/>
  <c r="Y268"/>
  <c r="J269"/>
  <c r="K269" s="1"/>
  <c r="O269"/>
  <c r="V269"/>
  <c r="S269" s="1"/>
  <c r="W269"/>
  <c r="T269"/>
  <c r="U269" s="1"/>
  <c r="X269"/>
  <c r="Y269"/>
  <c r="X270"/>
  <c r="C271"/>
  <c r="D271"/>
  <c r="E271"/>
  <c r="F271"/>
  <c r="G271"/>
  <c r="H271"/>
  <c r="H291" s="1"/>
  <c r="L271"/>
  <c r="L291" s="1"/>
  <c r="M271"/>
  <c r="N271"/>
  <c r="P271"/>
  <c r="Q271"/>
  <c r="R271"/>
  <c r="Z271"/>
  <c r="AA271"/>
  <c r="AB271"/>
  <c r="AB291" s="1"/>
  <c r="AC271"/>
  <c r="AD271"/>
  <c r="I272"/>
  <c r="J272"/>
  <c r="K272" s="1"/>
  <c r="O272"/>
  <c r="V272"/>
  <c r="V271"/>
  <c r="W272"/>
  <c r="X272"/>
  <c r="Y272"/>
  <c r="Y271" s="1"/>
  <c r="I273"/>
  <c r="O273"/>
  <c r="V273"/>
  <c r="S273"/>
  <c r="W273"/>
  <c r="X273"/>
  <c r="Y273"/>
  <c r="I274"/>
  <c r="I271" s="1"/>
  <c r="O274"/>
  <c r="V274"/>
  <c r="S274"/>
  <c r="W274"/>
  <c r="X274"/>
  <c r="Y274"/>
  <c r="I275"/>
  <c r="J275" s="1"/>
  <c r="K275" s="1"/>
  <c r="O275"/>
  <c r="S275"/>
  <c r="T275" s="1"/>
  <c r="U275" s="1"/>
  <c r="W275"/>
  <c r="X275"/>
  <c r="Y275"/>
  <c r="I276"/>
  <c r="J276" s="1"/>
  <c r="K276" s="1"/>
  <c r="O276"/>
  <c r="V276"/>
  <c r="W276"/>
  <c r="X276"/>
  <c r="I277"/>
  <c r="J277" s="1"/>
  <c r="K277"/>
  <c r="O277"/>
  <c r="V277"/>
  <c r="W277"/>
  <c r="X277"/>
  <c r="I278"/>
  <c r="J278" s="1"/>
  <c r="K278" s="1"/>
  <c r="O278"/>
  <c r="V278"/>
  <c r="W278"/>
  <c r="S278" s="1"/>
  <c r="T278" s="1"/>
  <c r="U278" s="1"/>
  <c r="X278"/>
  <c r="J279"/>
  <c r="K279" s="1"/>
  <c r="C280"/>
  <c r="C291" s="1"/>
  <c r="D280"/>
  <c r="E280"/>
  <c r="F280"/>
  <c r="G280"/>
  <c r="H280"/>
  <c r="L280"/>
  <c r="M280"/>
  <c r="N280"/>
  <c r="P280"/>
  <c r="Q280"/>
  <c r="R280"/>
  <c r="Y280"/>
  <c r="Z280"/>
  <c r="AA280"/>
  <c r="AB280"/>
  <c r="AC280"/>
  <c r="AD280"/>
  <c r="O281"/>
  <c r="V281"/>
  <c r="S281"/>
  <c r="W281"/>
  <c r="X281"/>
  <c r="O282"/>
  <c r="I282" s="1"/>
  <c r="J282" s="1"/>
  <c r="K282" s="1"/>
  <c r="V282"/>
  <c r="S282" s="1"/>
  <c r="T282" s="1"/>
  <c r="U282" s="1"/>
  <c r="W282"/>
  <c r="X282"/>
  <c r="O283"/>
  <c r="I283"/>
  <c r="J283" s="1"/>
  <c r="K283" s="1"/>
  <c r="V283"/>
  <c r="S283" s="1"/>
  <c r="T283"/>
  <c r="U283" s="1"/>
  <c r="W283"/>
  <c r="X283"/>
  <c r="O284"/>
  <c r="I284" s="1"/>
  <c r="J284" s="1"/>
  <c r="K284" s="1"/>
  <c r="V284"/>
  <c r="W284"/>
  <c r="S284" s="1"/>
  <c r="T284" s="1"/>
  <c r="X284"/>
  <c r="U284"/>
  <c r="O285"/>
  <c r="I285" s="1"/>
  <c r="J285" s="1"/>
  <c r="K285" s="1"/>
  <c r="V285"/>
  <c r="U285"/>
  <c r="W285"/>
  <c r="X285"/>
  <c r="S285" s="1"/>
  <c r="T285" s="1"/>
  <c r="O286"/>
  <c r="I286" s="1"/>
  <c r="J286" s="1"/>
  <c r="K286" s="1"/>
  <c r="V286"/>
  <c r="S286" s="1"/>
  <c r="T286" s="1"/>
  <c r="U286" s="1"/>
  <c r="W286"/>
  <c r="X286"/>
  <c r="O287"/>
  <c r="I287"/>
  <c r="J287" s="1"/>
  <c r="K287" s="1"/>
  <c r="V287"/>
  <c r="S287" s="1"/>
  <c r="T287"/>
  <c r="U287" s="1"/>
  <c r="W287"/>
  <c r="X287"/>
  <c r="O288"/>
  <c r="I288" s="1"/>
  <c r="J288" s="1"/>
  <c r="K288" s="1"/>
  <c r="V288"/>
  <c r="W288"/>
  <c r="S288" s="1"/>
  <c r="T288" s="1"/>
  <c r="X288"/>
  <c r="U288"/>
  <c r="O289"/>
  <c r="I289" s="1"/>
  <c r="J289" s="1"/>
  <c r="K289" s="1"/>
  <c r="V289"/>
  <c r="U289"/>
  <c r="W289"/>
  <c r="X289"/>
  <c r="S289" s="1"/>
  <c r="T289" s="1"/>
  <c r="D291"/>
  <c r="P291"/>
  <c r="AA291"/>
  <c r="C9" i="15"/>
  <c r="D9"/>
  <c r="E9"/>
  <c r="F9"/>
  <c r="G9"/>
  <c r="H9"/>
  <c r="L9"/>
  <c r="M9"/>
  <c r="N9"/>
  <c r="P9"/>
  <c r="Q9"/>
  <c r="R9"/>
  <c r="Z9"/>
  <c r="AA9"/>
  <c r="AC9"/>
  <c r="AD9"/>
  <c r="I10"/>
  <c r="O10"/>
  <c r="W10"/>
  <c r="S10" s="1"/>
  <c r="X10"/>
  <c r="Y10"/>
  <c r="AB10" s="1"/>
  <c r="I11"/>
  <c r="J11" s="1"/>
  <c r="O11"/>
  <c r="X11"/>
  <c r="S11"/>
  <c r="Y11"/>
  <c r="AB11" s="1"/>
  <c r="I12"/>
  <c r="O12"/>
  <c r="W12"/>
  <c r="W9" s="1"/>
  <c r="X12"/>
  <c r="Y12"/>
  <c r="AB12" s="1"/>
  <c r="I13"/>
  <c r="J13" s="1"/>
  <c r="K13" s="1"/>
  <c r="O13"/>
  <c r="U13"/>
  <c r="W13"/>
  <c r="S13" s="1"/>
  <c r="X13"/>
  <c r="Y13"/>
  <c r="AB13" s="1"/>
  <c r="I14"/>
  <c r="O14"/>
  <c r="W14"/>
  <c r="X14"/>
  <c r="S14" s="1"/>
  <c r="Y14"/>
  <c r="AB14" s="1"/>
  <c r="I15"/>
  <c r="O15"/>
  <c r="W15"/>
  <c r="X15"/>
  <c r="Y15"/>
  <c r="AB15" s="1"/>
  <c r="I16"/>
  <c r="O16"/>
  <c r="W16"/>
  <c r="X16"/>
  <c r="Y16"/>
  <c r="AB16" s="1"/>
  <c r="I17"/>
  <c r="J17" s="1"/>
  <c r="K17" s="1"/>
  <c r="O17"/>
  <c r="W17"/>
  <c r="X17"/>
  <c r="Y17"/>
  <c r="AB17" s="1"/>
  <c r="I18"/>
  <c r="J18" s="1"/>
  <c r="K18" s="1"/>
  <c r="O18"/>
  <c r="W18"/>
  <c r="X18"/>
  <c r="S18" s="1"/>
  <c r="T18" s="1"/>
  <c r="U18" s="1"/>
  <c r="Y18"/>
  <c r="AB18" s="1"/>
  <c r="I19"/>
  <c r="J19" s="1"/>
  <c r="K19" s="1"/>
  <c r="O19"/>
  <c r="W19"/>
  <c r="S19" s="1"/>
  <c r="T19" s="1"/>
  <c r="U19" s="1"/>
  <c r="Y19"/>
  <c r="AB19" s="1"/>
  <c r="I20"/>
  <c r="J20" s="1"/>
  <c r="K20" s="1"/>
  <c r="O20"/>
  <c r="W20"/>
  <c r="S20" s="1"/>
  <c r="T20" s="1"/>
  <c r="U20" s="1"/>
  <c r="Y20"/>
  <c r="AB20" s="1"/>
  <c r="I21"/>
  <c r="J21" s="1"/>
  <c r="O21"/>
  <c r="W21"/>
  <c r="S21" s="1"/>
  <c r="T21" s="1"/>
  <c r="U21" s="1"/>
  <c r="Y21"/>
  <c r="AB21" s="1"/>
  <c r="I22"/>
  <c r="J22" s="1"/>
  <c r="K22" s="1"/>
  <c r="O22"/>
  <c r="W22"/>
  <c r="S22" s="1"/>
  <c r="T22" s="1"/>
  <c r="U22" s="1"/>
  <c r="Y22"/>
  <c r="AB22" s="1"/>
  <c r="I23"/>
  <c r="J23" s="1"/>
  <c r="K23" s="1"/>
  <c r="O23"/>
  <c r="W23"/>
  <c r="S23" s="1"/>
  <c r="T23" s="1"/>
  <c r="U23" s="1"/>
  <c r="Y23"/>
  <c r="AB23" s="1"/>
  <c r="I24"/>
  <c r="J24" s="1"/>
  <c r="K24" s="1"/>
  <c r="O24"/>
  <c r="W24"/>
  <c r="S24" s="1"/>
  <c r="T24" s="1"/>
  <c r="U24" s="1"/>
  <c r="Y24"/>
  <c r="AB24" s="1"/>
  <c r="I25"/>
  <c r="J25" s="1"/>
  <c r="K25" s="1"/>
  <c r="O25"/>
  <c r="V25"/>
  <c r="W25"/>
  <c r="Y25"/>
  <c r="AB25" s="1"/>
  <c r="I26"/>
  <c r="J26" s="1"/>
  <c r="K26" s="1"/>
  <c r="O26"/>
  <c r="V26"/>
  <c r="W26"/>
  <c r="Y26"/>
  <c r="AB26" s="1"/>
  <c r="S27"/>
  <c r="T27" s="1"/>
  <c r="U27" s="1"/>
  <c r="Y27"/>
  <c r="AB27" s="1"/>
  <c r="C28"/>
  <c r="D28"/>
  <c r="E28"/>
  <c r="F28"/>
  <c r="G28"/>
  <c r="H28"/>
  <c r="L28"/>
  <c r="M28"/>
  <c r="N28"/>
  <c r="P28"/>
  <c r="Q28"/>
  <c r="R28"/>
  <c r="Y28"/>
  <c r="Z28"/>
  <c r="AA28"/>
  <c r="AC28"/>
  <c r="AD28"/>
  <c r="I29"/>
  <c r="J29" s="1"/>
  <c r="K29" s="1"/>
  <c r="O29"/>
  <c r="W29"/>
  <c r="X29"/>
  <c r="AB29"/>
  <c r="I30"/>
  <c r="O30"/>
  <c r="V30"/>
  <c r="S30" s="1"/>
  <c r="W30"/>
  <c r="W28" s="1"/>
  <c r="X30"/>
  <c r="AB30"/>
  <c r="I31"/>
  <c r="J31" s="1"/>
  <c r="O31"/>
  <c r="O28" s="1"/>
  <c r="V31"/>
  <c r="W31"/>
  <c r="X31"/>
  <c r="AB31"/>
  <c r="I32"/>
  <c r="J32" s="1"/>
  <c r="K32" s="1"/>
  <c r="O32"/>
  <c r="V32"/>
  <c r="W32"/>
  <c r="X32"/>
  <c r="AB32"/>
  <c r="I33"/>
  <c r="J33" s="1"/>
  <c r="K33" s="1"/>
  <c r="O33"/>
  <c r="V33"/>
  <c r="W33"/>
  <c r="X33"/>
  <c r="AB33"/>
  <c r="I34"/>
  <c r="J34" s="1"/>
  <c r="K34" s="1"/>
  <c r="O34"/>
  <c r="V34"/>
  <c r="W34"/>
  <c r="X34"/>
  <c r="AB34"/>
  <c r="S35"/>
  <c r="T35" s="1"/>
  <c r="U35" s="1"/>
  <c r="AB35"/>
  <c r="S36"/>
  <c r="T36" s="1"/>
  <c r="U36" s="1"/>
  <c r="AB36"/>
  <c r="C38"/>
  <c r="D38"/>
  <c r="E38"/>
  <c r="F38"/>
  <c r="G38"/>
  <c r="H38"/>
  <c r="L38"/>
  <c r="M38"/>
  <c r="N38"/>
  <c r="P38"/>
  <c r="Q38"/>
  <c r="R38"/>
  <c r="Y38"/>
  <c r="Z38"/>
  <c r="AA38"/>
  <c r="AB38"/>
  <c r="AC38"/>
  <c r="AD38"/>
  <c r="I39"/>
  <c r="O39"/>
  <c r="W39"/>
  <c r="W38" s="1"/>
  <c r="X39"/>
  <c r="I40"/>
  <c r="O40"/>
  <c r="W40"/>
  <c r="S40" s="1"/>
  <c r="X40"/>
  <c r="I41"/>
  <c r="O41"/>
  <c r="W41"/>
  <c r="X41"/>
  <c r="I42"/>
  <c r="J42" s="1"/>
  <c r="K42" s="1"/>
  <c r="O42"/>
  <c r="W42"/>
  <c r="X42"/>
  <c r="I43"/>
  <c r="J43" s="1"/>
  <c r="K43" s="1"/>
  <c r="O43"/>
  <c r="V43"/>
  <c r="V38" s="1"/>
  <c r="W43"/>
  <c r="X43"/>
  <c r="I44"/>
  <c r="J44" s="1"/>
  <c r="K44" s="1"/>
  <c r="O44"/>
  <c r="V44"/>
  <c r="W44"/>
  <c r="X44"/>
  <c r="I45"/>
  <c r="J45" s="1"/>
  <c r="K45" s="1"/>
  <c r="O45"/>
  <c r="W45"/>
  <c r="X45"/>
  <c r="I46"/>
  <c r="J46" s="1"/>
  <c r="O46"/>
  <c r="W46"/>
  <c r="X46"/>
  <c r="S47"/>
  <c r="T47" s="1"/>
  <c r="U47" s="1"/>
  <c r="S48"/>
  <c r="T48" s="1"/>
  <c r="U48" s="1"/>
  <c r="S49"/>
  <c r="T49" s="1"/>
  <c r="U49" s="1"/>
  <c r="I50"/>
  <c r="J50" s="1"/>
  <c r="K50" s="1"/>
  <c r="O50"/>
  <c r="W50"/>
  <c r="X50"/>
  <c r="I51"/>
  <c r="J51" s="1"/>
  <c r="K51" s="1"/>
  <c r="O51"/>
  <c r="W51"/>
  <c r="X51"/>
  <c r="S52"/>
  <c r="U52"/>
  <c r="C53"/>
  <c r="D53"/>
  <c r="E53"/>
  <c r="F53"/>
  <c r="G53"/>
  <c r="H53"/>
  <c r="L53"/>
  <c r="M53"/>
  <c r="N53"/>
  <c r="P53"/>
  <c r="Q53"/>
  <c r="R53"/>
  <c r="Z53"/>
  <c r="AB53"/>
  <c r="AC53"/>
  <c r="AD53"/>
  <c r="I54"/>
  <c r="O54"/>
  <c r="V54"/>
  <c r="W54"/>
  <c r="W53" s="1"/>
  <c r="X54"/>
  <c r="I55"/>
  <c r="J55" s="1"/>
  <c r="O55"/>
  <c r="V55"/>
  <c r="W55"/>
  <c r="X55"/>
  <c r="I56"/>
  <c r="J56" s="1"/>
  <c r="K56" s="1"/>
  <c r="O56"/>
  <c r="V56"/>
  <c r="W56"/>
  <c r="X56"/>
  <c r="I57"/>
  <c r="J57" s="1"/>
  <c r="K57" s="1"/>
  <c r="O57"/>
  <c r="V57"/>
  <c r="W57"/>
  <c r="X57"/>
  <c r="I58"/>
  <c r="J58" s="1"/>
  <c r="K58" s="1"/>
  <c r="O58"/>
  <c r="V58"/>
  <c r="W58"/>
  <c r="X58"/>
  <c r="I59"/>
  <c r="J59" s="1"/>
  <c r="K59" s="1"/>
  <c r="O59"/>
  <c r="V59"/>
  <c r="W59"/>
  <c r="X59"/>
  <c r="I60"/>
  <c r="J60" s="1"/>
  <c r="K60" s="1"/>
  <c r="O60"/>
  <c r="V60"/>
  <c r="W60"/>
  <c r="X60"/>
  <c r="S60" s="1"/>
  <c r="T60" s="1"/>
  <c r="U60" s="1"/>
  <c r="I61"/>
  <c r="J61" s="1"/>
  <c r="K61" s="1"/>
  <c r="O61"/>
  <c r="V61"/>
  <c r="W61"/>
  <c r="X61"/>
  <c r="I62"/>
  <c r="J62" s="1"/>
  <c r="K62" s="1"/>
  <c r="O62"/>
  <c r="V62"/>
  <c r="S62" s="1"/>
  <c r="T62" s="1"/>
  <c r="U62" s="1"/>
  <c r="W62"/>
  <c r="X62"/>
  <c r="I63"/>
  <c r="J63" s="1"/>
  <c r="K63" s="1"/>
  <c r="O63"/>
  <c r="V63"/>
  <c r="W63"/>
  <c r="X63"/>
  <c r="I64"/>
  <c r="J64" s="1"/>
  <c r="K64" s="1"/>
  <c r="O64"/>
  <c r="V64"/>
  <c r="W64"/>
  <c r="X64"/>
  <c r="I65"/>
  <c r="J65" s="1"/>
  <c r="K65" s="1"/>
  <c r="O65"/>
  <c r="V65"/>
  <c r="W65"/>
  <c r="X65"/>
  <c r="I66"/>
  <c r="J66" s="1"/>
  <c r="K66" s="1"/>
  <c r="O66"/>
  <c r="V66"/>
  <c r="S66" s="1"/>
  <c r="T66" s="1"/>
  <c r="U66" s="1"/>
  <c r="W66"/>
  <c r="X66"/>
  <c r="I67"/>
  <c r="J67" s="1"/>
  <c r="K67" s="1"/>
  <c r="O67"/>
  <c r="V67"/>
  <c r="W67"/>
  <c r="X67"/>
  <c r="I68"/>
  <c r="J68" s="1"/>
  <c r="K68" s="1"/>
  <c r="O68"/>
  <c r="V68"/>
  <c r="W68"/>
  <c r="X68"/>
  <c r="I69"/>
  <c r="J69" s="1"/>
  <c r="K69" s="1"/>
  <c r="O69"/>
  <c r="V69"/>
  <c r="W69"/>
  <c r="X69"/>
  <c r="I70"/>
  <c r="J70" s="1"/>
  <c r="K70" s="1"/>
  <c r="O70"/>
  <c r="V70"/>
  <c r="S70" s="1"/>
  <c r="T70" s="1"/>
  <c r="U70" s="1"/>
  <c r="W70"/>
  <c r="X70"/>
  <c r="I71"/>
  <c r="J71" s="1"/>
  <c r="K71" s="1"/>
  <c r="O71"/>
  <c r="V71"/>
  <c r="W71"/>
  <c r="X71"/>
  <c r="I72"/>
  <c r="J72" s="1"/>
  <c r="K72" s="1"/>
  <c r="O72"/>
  <c r="V72"/>
  <c r="W72"/>
  <c r="X72"/>
  <c r="I73"/>
  <c r="J73" s="1"/>
  <c r="K73" s="1"/>
  <c r="O73"/>
  <c r="V73"/>
  <c r="W73"/>
  <c r="X73"/>
  <c r="I74"/>
  <c r="J74" s="1"/>
  <c r="K74" s="1"/>
  <c r="O74"/>
  <c r="V74"/>
  <c r="W74"/>
  <c r="X74"/>
  <c r="I75"/>
  <c r="J75" s="1"/>
  <c r="K75" s="1"/>
  <c r="O75"/>
  <c r="V75"/>
  <c r="S75" s="1"/>
  <c r="T75" s="1"/>
  <c r="U75" s="1"/>
  <c r="W75"/>
  <c r="X75"/>
  <c r="I76"/>
  <c r="J76" s="1"/>
  <c r="K76" s="1"/>
  <c r="O76"/>
  <c r="V76"/>
  <c r="W76"/>
  <c r="X76"/>
  <c r="I77"/>
  <c r="J77" s="1"/>
  <c r="K77" s="1"/>
  <c r="O77"/>
  <c r="V77"/>
  <c r="W77"/>
  <c r="X77"/>
  <c r="I78"/>
  <c r="J78" s="1"/>
  <c r="K78" s="1"/>
  <c r="O78"/>
  <c r="V78"/>
  <c r="W78"/>
  <c r="X78"/>
  <c r="I79"/>
  <c r="J79" s="1"/>
  <c r="K79" s="1"/>
  <c r="O79"/>
  <c r="V79"/>
  <c r="W79"/>
  <c r="X79"/>
  <c r="S79" s="1"/>
  <c r="T79" s="1"/>
  <c r="U79" s="1"/>
  <c r="I80"/>
  <c r="J80" s="1"/>
  <c r="K80" s="1"/>
  <c r="O80"/>
  <c r="V80"/>
  <c r="W80"/>
  <c r="X80"/>
  <c r="I81"/>
  <c r="J81" s="1"/>
  <c r="K81" s="1"/>
  <c r="O81"/>
  <c r="V81"/>
  <c r="S81" s="1"/>
  <c r="T81" s="1"/>
  <c r="U81" s="1"/>
  <c r="W81"/>
  <c r="X81"/>
  <c r="I82"/>
  <c r="J82" s="1"/>
  <c r="K82" s="1"/>
  <c r="O82"/>
  <c r="V82"/>
  <c r="W82"/>
  <c r="X82"/>
  <c r="I83"/>
  <c r="J83" s="1"/>
  <c r="K83" s="1"/>
  <c r="O83"/>
  <c r="V83"/>
  <c r="W83"/>
  <c r="S83" s="1"/>
  <c r="T83" s="1"/>
  <c r="U83" s="1"/>
  <c r="X83"/>
  <c r="I84"/>
  <c r="J84" s="1"/>
  <c r="K84" s="1"/>
  <c r="O84"/>
  <c r="V84"/>
  <c r="W84"/>
  <c r="X84"/>
  <c r="I85"/>
  <c r="J85" s="1"/>
  <c r="K85" s="1"/>
  <c r="O85"/>
  <c r="V85"/>
  <c r="W85"/>
  <c r="X85"/>
  <c r="S86"/>
  <c r="T86" s="1"/>
  <c r="U86" s="1"/>
  <c r="S87"/>
  <c r="T87" s="1"/>
  <c r="U87" s="1"/>
  <c r="S88"/>
  <c r="T88" s="1"/>
  <c r="U88" s="1"/>
  <c r="S89"/>
  <c r="T89" s="1"/>
  <c r="U89" s="1"/>
  <c r="C90"/>
  <c r="D90"/>
  <c r="E90"/>
  <c r="F90"/>
  <c r="G90"/>
  <c r="H90"/>
  <c r="L90"/>
  <c r="M90"/>
  <c r="N90"/>
  <c r="P90"/>
  <c r="Q90"/>
  <c r="R90"/>
  <c r="Y90"/>
  <c r="Z90"/>
  <c r="AA90"/>
  <c r="AB90"/>
  <c r="AC90"/>
  <c r="AD90"/>
  <c r="I91"/>
  <c r="O91"/>
  <c r="V91"/>
  <c r="V90" s="1"/>
  <c r="W91"/>
  <c r="X91"/>
  <c r="I92"/>
  <c r="O92"/>
  <c r="W92"/>
  <c r="X92"/>
  <c r="I93"/>
  <c r="J93" s="1"/>
  <c r="K93" s="1"/>
  <c r="K90" s="1"/>
  <c r="O93"/>
  <c r="W93"/>
  <c r="X93"/>
  <c r="S94"/>
  <c r="T94" s="1"/>
  <c r="U94"/>
  <c r="C96"/>
  <c r="D96"/>
  <c r="E96"/>
  <c r="F96"/>
  <c r="G96"/>
  <c r="H96"/>
  <c r="L96"/>
  <c r="M96"/>
  <c r="N96"/>
  <c r="P96"/>
  <c r="Q96"/>
  <c r="R96"/>
  <c r="Y96"/>
  <c r="Z96"/>
  <c r="AA96"/>
  <c r="AC96"/>
  <c r="AD96"/>
  <c r="I97"/>
  <c r="O97"/>
  <c r="W97"/>
  <c r="W96" s="1"/>
  <c r="X97"/>
  <c r="AB97"/>
  <c r="I98"/>
  <c r="O98"/>
  <c r="V98"/>
  <c r="V96" s="1"/>
  <c r="W98"/>
  <c r="X98"/>
  <c r="AB98"/>
  <c r="AB96" s="1"/>
  <c r="I99"/>
  <c r="J99" s="1"/>
  <c r="K99" s="1"/>
  <c r="O99"/>
  <c r="V99"/>
  <c r="W99"/>
  <c r="X99"/>
  <c r="AB99"/>
  <c r="I100"/>
  <c r="J100" s="1"/>
  <c r="K100" s="1"/>
  <c r="O100"/>
  <c r="V100"/>
  <c r="W100"/>
  <c r="X100"/>
  <c r="AB100"/>
  <c r="I101"/>
  <c r="J101" s="1"/>
  <c r="O101"/>
  <c r="W101"/>
  <c r="X101"/>
  <c r="S101" s="1"/>
  <c r="T101" s="1"/>
  <c r="U101" s="1"/>
  <c r="AB101"/>
  <c r="I102"/>
  <c r="J102" s="1"/>
  <c r="K102" s="1"/>
  <c r="O102"/>
  <c r="W102"/>
  <c r="X102"/>
  <c r="AB102"/>
  <c r="S103"/>
  <c r="T103" s="1"/>
  <c r="U103" s="1"/>
  <c r="AB103"/>
  <c r="C105"/>
  <c r="D105"/>
  <c r="E105"/>
  <c r="F105"/>
  <c r="G105"/>
  <c r="H105"/>
  <c r="L105"/>
  <c r="M105"/>
  <c r="N105"/>
  <c r="P105"/>
  <c r="Q105"/>
  <c r="R105"/>
  <c r="V105"/>
  <c r="Y105"/>
  <c r="Z105"/>
  <c r="AA105"/>
  <c r="AC105"/>
  <c r="AD105"/>
  <c r="I106"/>
  <c r="O106"/>
  <c r="W106"/>
  <c r="X106"/>
  <c r="AB106"/>
  <c r="I107"/>
  <c r="I105" s="1"/>
  <c r="O107"/>
  <c r="W107"/>
  <c r="X107"/>
  <c r="AB107"/>
  <c r="I108"/>
  <c r="O108"/>
  <c r="W108"/>
  <c r="X108"/>
  <c r="AB108"/>
  <c r="I109"/>
  <c r="J109" s="1"/>
  <c r="O109"/>
  <c r="W109"/>
  <c r="S109" s="1"/>
  <c r="X109"/>
  <c r="AB109"/>
  <c r="I110"/>
  <c r="J110" s="1"/>
  <c r="K110"/>
  <c r="O110"/>
  <c r="W110"/>
  <c r="X110"/>
  <c r="AB110"/>
  <c r="S111"/>
  <c r="T111" s="1"/>
  <c r="U111" s="1"/>
  <c r="AB111"/>
  <c r="C112"/>
  <c r="D112"/>
  <c r="E112"/>
  <c r="F112"/>
  <c r="G112"/>
  <c r="H112"/>
  <c r="L112"/>
  <c r="M112"/>
  <c r="N112"/>
  <c r="P112"/>
  <c r="Q112"/>
  <c r="R112"/>
  <c r="V112"/>
  <c r="Y112"/>
  <c r="Z112"/>
  <c r="AA112"/>
  <c r="AC112"/>
  <c r="AD112"/>
  <c r="I113"/>
  <c r="O113"/>
  <c r="W113"/>
  <c r="X113"/>
  <c r="X112" s="1"/>
  <c r="AB113"/>
  <c r="I114"/>
  <c r="O114"/>
  <c r="W114"/>
  <c r="S114" s="1"/>
  <c r="T114" s="1"/>
  <c r="U114" s="1"/>
  <c r="X114"/>
  <c r="AB114"/>
  <c r="S115"/>
  <c r="T115" s="1"/>
  <c r="U115" s="1"/>
  <c r="AB115"/>
  <c r="S116"/>
  <c r="T116" s="1"/>
  <c r="AB116"/>
  <c r="I117"/>
  <c r="J117" s="1"/>
  <c r="J112" s="1"/>
  <c r="O117"/>
  <c r="W117"/>
  <c r="S117" s="1"/>
  <c r="T117" s="1"/>
  <c r="U117" s="1"/>
  <c r="X117"/>
  <c r="AB117"/>
  <c r="S118"/>
  <c r="C119"/>
  <c r="D119"/>
  <c r="E119"/>
  <c r="F119"/>
  <c r="G119"/>
  <c r="H119"/>
  <c r="L119"/>
  <c r="M119"/>
  <c r="N119"/>
  <c r="P119"/>
  <c r="Q119"/>
  <c r="R119"/>
  <c r="Y119"/>
  <c r="Z119"/>
  <c r="AA119"/>
  <c r="AC119"/>
  <c r="AD119"/>
  <c r="I120"/>
  <c r="O120"/>
  <c r="V120"/>
  <c r="S120" s="1"/>
  <c r="W120"/>
  <c r="X120"/>
  <c r="AB120"/>
  <c r="I121"/>
  <c r="O121"/>
  <c r="V121"/>
  <c r="W121"/>
  <c r="X121"/>
  <c r="AB121"/>
  <c r="I122"/>
  <c r="J122" s="1"/>
  <c r="O122"/>
  <c r="W122"/>
  <c r="S122" s="1"/>
  <c r="T122" s="1"/>
  <c r="X122"/>
  <c r="AB122"/>
  <c r="I123"/>
  <c r="J123" s="1"/>
  <c r="K123" s="1"/>
  <c r="O123"/>
  <c r="W123"/>
  <c r="X123"/>
  <c r="AB123"/>
  <c r="S124"/>
  <c r="T124" s="1"/>
  <c r="U124" s="1"/>
  <c r="AB124"/>
  <c r="C126"/>
  <c r="D126"/>
  <c r="E126"/>
  <c r="F126"/>
  <c r="G126"/>
  <c r="H126"/>
  <c r="L126"/>
  <c r="M126"/>
  <c r="N126"/>
  <c r="P126"/>
  <c r="Q126"/>
  <c r="R126"/>
  <c r="Y126"/>
  <c r="Z126"/>
  <c r="AA126"/>
  <c r="AC126"/>
  <c r="AD126"/>
  <c r="I127"/>
  <c r="O127"/>
  <c r="W127"/>
  <c r="X127"/>
  <c r="AB127"/>
  <c r="I128"/>
  <c r="I126" s="1"/>
  <c r="O128"/>
  <c r="V128"/>
  <c r="W128"/>
  <c r="X128"/>
  <c r="S128" s="1"/>
  <c r="AB128"/>
  <c r="I129"/>
  <c r="J129" s="1"/>
  <c r="O129"/>
  <c r="V129"/>
  <c r="V126" s="1"/>
  <c r="W129"/>
  <c r="X129"/>
  <c r="AB129"/>
  <c r="I130"/>
  <c r="J130" s="1"/>
  <c r="O130"/>
  <c r="W130"/>
  <c r="X130"/>
  <c r="AB130"/>
  <c r="C132"/>
  <c r="D132"/>
  <c r="E132"/>
  <c r="F132"/>
  <c r="G132"/>
  <c r="H132"/>
  <c r="L132"/>
  <c r="M132"/>
  <c r="N132"/>
  <c r="P132"/>
  <c r="Q132"/>
  <c r="R132"/>
  <c r="V132"/>
  <c r="Y132"/>
  <c r="Z132"/>
  <c r="AA132"/>
  <c r="AC132"/>
  <c r="AD132"/>
  <c r="I133"/>
  <c r="O133"/>
  <c r="W133"/>
  <c r="X133"/>
  <c r="AB133"/>
  <c r="I134"/>
  <c r="I132" s="1"/>
  <c r="O134"/>
  <c r="W134"/>
  <c r="X134"/>
  <c r="AB134"/>
  <c r="I135"/>
  <c r="O135"/>
  <c r="W135"/>
  <c r="X135"/>
  <c r="S135" s="1"/>
  <c r="T135" s="1"/>
  <c r="U135" s="1"/>
  <c r="AB135"/>
  <c r="I136"/>
  <c r="J136" s="1"/>
  <c r="O136"/>
  <c r="W136"/>
  <c r="S136" s="1"/>
  <c r="T136" s="1"/>
  <c r="U136" s="1"/>
  <c r="X136"/>
  <c r="AB136"/>
  <c r="I137"/>
  <c r="J137"/>
  <c r="K137" s="1"/>
  <c r="O137"/>
  <c r="W137"/>
  <c r="X137"/>
  <c r="AB137"/>
  <c r="C139"/>
  <c r="D139"/>
  <c r="E139"/>
  <c r="F139"/>
  <c r="G139"/>
  <c r="H139"/>
  <c r="L139"/>
  <c r="M139"/>
  <c r="N139"/>
  <c r="P139"/>
  <c r="Q139"/>
  <c r="R139"/>
  <c r="Y139"/>
  <c r="Z139"/>
  <c r="AA139"/>
  <c r="AC139"/>
  <c r="AD139"/>
  <c r="I140"/>
  <c r="O140"/>
  <c r="W140"/>
  <c r="X140"/>
  <c r="AB140"/>
  <c r="I141"/>
  <c r="O141"/>
  <c r="U141"/>
  <c r="V141"/>
  <c r="W141"/>
  <c r="X141"/>
  <c r="X139" s="1"/>
  <c r="AB141"/>
  <c r="I142"/>
  <c r="J142" s="1"/>
  <c r="K142" s="1"/>
  <c r="K139" s="1"/>
  <c r="O142"/>
  <c r="V142"/>
  <c r="W142"/>
  <c r="X142"/>
  <c r="AB142"/>
  <c r="AB139" s="1"/>
  <c r="C144"/>
  <c r="D144"/>
  <c r="E144"/>
  <c r="F144"/>
  <c r="G144"/>
  <c r="H144"/>
  <c r="L144"/>
  <c r="M144"/>
  <c r="N144"/>
  <c r="P144"/>
  <c r="Q144"/>
  <c r="R144"/>
  <c r="V144"/>
  <c r="Y144"/>
  <c r="Z144"/>
  <c r="AA144"/>
  <c r="AC144"/>
  <c r="AD144"/>
  <c r="I145"/>
  <c r="O145"/>
  <c r="W145"/>
  <c r="W144" s="1"/>
  <c r="X145"/>
  <c r="AB145"/>
  <c r="I146"/>
  <c r="I144" s="1"/>
  <c r="O146"/>
  <c r="W146"/>
  <c r="X146"/>
  <c r="AB146"/>
  <c r="S147"/>
  <c r="T147" s="1"/>
  <c r="U147" s="1"/>
  <c r="AB147"/>
  <c r="I148"/>
  <c r="J148" s="1"/>
  <c r="O148"/>
  <c r="W148"/>
  <c r="S148" s="1"/>
  <c r="T148" s="1"/>
  <c r="U148" s="1"/>
  <c r="X148"/>
  <c r="AB148"/>
  <c r="C150"/>
  <c r="D150"/>
  <c r="E150"/>
  <c r="F150"/>
  <c r="G150"/>
  <c r="H150"/>
  <c r="L150"/>
  <c r="M150"/>
  <c r="N150"/>
  <c r="P150"/>
  <c r="Q150"/>
  <c r="R150"/>
  <c r="Y150"/>
  <c r="Z150"/>
  <c r="AA150"/>
  <c r="AC150"/>
  <c r="AD150"/>
  <c r="I151"/>
  <c r="O151"/>
  <c r="W151"/>
  <c r="X151"/>
  <c r="X150" s="1"/>
  <c r="AB151"/>
  <c r="I152"/>
  <c r="O152"/>
  <c r="V152"/>
  <c r="W152"/>
  <c r="X152"/>
  <c r="AB152"/>
  <c r="I153"/>
  <c r="J153" s="1"/>
  <c r="K153" s="1"/>
  <c r="O153"/>
  <c r="V153"/>
  <c r="W153"/>
  <c r="X153"/>
  <c r="AB153"/>
  <c r="I154"/>
  <c r="J154" s="1"/>
  <c r="K154" s="1"/>
  <c r="O154"/>
  <c r="W154"/>
  <c r="S154" s="1"/>
  <c r="T154" s="1"/>
  <c r="U154" s="1"/>
  <c r="X154"/>
  <c r="AB154"/>
  <c r="C156"/>
  <c r="D156"/>
  <c r="E156"/>
  <c r="F156"/>
  <c r="G156"/>
  <c r="H156"/>
  <c r="L156"/>
  <c r="M156"/>
  <c r="N156"/>
  <c r="P156"/>
  <c r="Q156"/>
  <c r="R156"/>
  <c r="V156"/>
  <c r="Y156"/>
  <c r="Z156"/>
  <c r="AA156"/>
  <c r="AC156"/>
  <c r="I157"/>
  <c r="I156" s="1"/>
  <c r="O157"/>
  <c r="W157"/>
  <c r="X157"/>
  <c r="AB157"/>
  <c r="I158"/>
  <c r="O158"/>
  <c r="W158"/>
  <c r="X158"/>
  <c r="AB158"/>
  <c r="I159"/>
  <c r="J159" s="1"/>
  <c r="O159"/>
  <c r="W159"/>
  <c r="S159" s="1"/>
  <c r="T159" s="1"/>
  <c r="X159"/>
  <c r="AB159"/>
  <c r="O160"/>
  <c r="S160"/>
  <c r="T160" s="1"/>
  <c r="U160" s="1"/>
  <c r="AB160"/>
  <c r="X161"/>
  <c r="AD161" s="1"/>
  <c r="X162"/>
  <c r="AD162" s="1"/>
  <c r="C165"/>
  <c r="D165"/>
  <c r="E165"/>
  <c r="F165"/>
  <c r="G165"/>
  <c r="H165"/>
  <c r="L165"/>
  <c r="M165"/>
  <c r="N165"/>
  <c r="P165"/>
  <c r="Q165"/>
  <c r="R165"/>
  <c r="Y165"/>
  <c r="Z165"/>
  <c r="AA165"/>
  <c r="AD165"/>
  <c r="I166"/>
  <c r="J166" s="1"/>
  <c r="K166" s="1"/>
  <c r="O166"/>
  <c r="I167"/>
  <c r="O167"/>
  <c r="I168"/>
  <c r="O168"/>
  <c r="I169"/>
  <c r="J169" s="1"/>
  <c r="K169" s="1"/>
  <c r="O169"/>
  <c r="V169"/>
  <c r="W169"/>
  <c r="X169"/>
  <c r="AB169"/>
  <c r="I170"/>
  <c r="J170" s="1"/>
  <c r="K170" s="1"/>
  <c r="O170"/>
  <c r="V170"/>
  <c r="W170"/>
  <c r="X170"/>
  <c r="AB170"/>
  <c r="I171"/>
  <c r="O171"/>
  <c r="U171"/>
  <c r="W171"/>
  <c r="X171"/>
  <c r="AB171"/>
  <c r="I172"/>
  <c r="O172"/>
  <c r="U172"/>
  <c r="W172"/>
  <c r="X172"/>
  <c r="AB172"/>
  <c r="I173"/>
  <c r="O173"/>
  <c r="U173"/>
  <c r="W173"/>
  <c r="X173"/>
  <c r="AB173"/>
  <c r="S174"/>
  <c r="T174" s="1"/>
  <c r="U174" s="1"/>
  <c r="AB174"/>
  <c r="I175"/>
  <c r="J175" s="1"/>
  <c r="K175" s="1"/>
  <c r="O175"/>
  <c r="W175"/>
  <c r="X175"/>
  <c r="AB175"/>
  <c r="I176"/>
  <c r="O176"/>
  <c r="U176"/>
  <c r="W176"/>
  <c r="S176" s="1"/>
  <c r="X176"/>
  <c r="AB176"/>
  <c r="I177"/>
  <c r="J177" s="1"/>
  <c r="K177" s="1"/>
  <c r="O177"/>
  <c r="W177"/>
  <c r="X177"/>
  <c r="AB177"/>
  <c r="I178"/>
  <c r="J178" s="1"/>
  <c r="K178" s="1"/>
  <c r="O178"/>
  <c r="W178"/>
  <c r="X178"/>
  <c r="AB178"/>
  <c r="I179"/>
  <c r="J179" s="1"/>
  <c r="K179" s="1"/>
  <c r="O179"/>
  <c r="V179"/>
  <c r="W179"/>
  <c r="X179"/>
  <c r="AB179"/>
  <c r="I180"/>
  <c r="J180" s="1"/>
  <c r="K180" s="1"/>
  <c r="O180"/>
  <c r="V180"/>
  <c r="W180"/>
  <c r="X180"/>
  <c r="AC180"/>
  <c r="AC165" s="1"/>
  <c r="I181"/>
  <c r="J181" s="1"/>
  <c r="K181" s="1"/>
  <c r="O181"/>
  <c r="W181"/>
  <c r="S181" s="1"/>
  <c r="T181" s="1"/>
  <c r="U181" s="1"/>
  <c r="X181"/>
  <c r="AB181"/>
  <c r="I182"/>
  <c r="J182" s="1"/>
  <c r="K182" s="1"/>
  <c r="O182"/>
  <c r="V182"/>
  <c r="X182"/>
  <c r="AB182"/>
  <c r="I183"/>
  <c r="J183" s="1"/>
  <c r="K183" s="1"/>
  <c r="O183"/>
  <c r="V183"/>
  <c r="W183"/>
  <c r="X183"/>
  <c r="AB183"/>
  <c r="I184"/>
  <c r="J184" s="1"/>
  <c r="K184" s="1"/>
  <c r="O184"/>
  <c r="V184"/>
  <c r="W184"/>
  <c r="X184"/>
  <c r="AB184"/>
  <c r="I185"/>
  <c r="J185" s="1"/>
  <c r="K185" s="1"/>
  <c r="O185"/>
  <c r="V185"/>
  <c r="W185"/>
  <c r="X185"/>
  <c r="AB185"/>
  <c r="I186"/>
  <c r="J186" s="1"/>
  <c r="K186" s="1"/>
  <c r="O186"/>
  <c r="V186"/>
  <c r="W186"/>
  <c r="X186"/>
  <c r="AB186"/>
  <c r="I187"/>
  <c r="J187" s="1"/>
  <c r="K187" s="1"/>
  <c r="O187"/>
  <c r="V187"/>
  <c r="W187"/>
  <c r="X187"/>
  <c r="AB187"/>
  <c r="I188"/>
  <c r="J188" s="1"/>
  <c r="K188" s="1"/>
  <c r="O188"/>
  <c r="V188"/>
  <c r="W188"/>
  <c r="X188"/>
  <c r="AB188"/>
  <c r="I189"/>
  <c r="J189" s="1"/>
  <c r="K189" s="1"/>
  <c r="O189"/>
  <c r="V189"/>
  <c r="W189"/>
  <c r="X189"/>
  <c r="AB189"/>
  <c r="I190"/>
  <c r="J190"/>
  <c r="K190" s="1"/>
  <c r="O190"/>
  <c r="W190"/>
  <c r="X190"/>
  <c r="AB190"/>
  <c r="I191"/>
  <c r="J191" s="1"/>
  <c r="O191"/>
  <c r="V191"/>
  <c r="W191"/>
  <c r="X191"/>
  <c r="AB191"/>
  <c r="I192"/>
  <c r="J192" s="1"/>
  <c r="K192" s="1"/>
  <c r="O192"/>
  <c r="V192"/>
  <c r="W192"/>
  <c r="X192"/>
  <c r="AB192"/>
  <c r="I193"/>
  <c r="J193" s="1"/>
  <c r="K193" s="1"/>
  <c r="O193"/>
  <c r="W193"/>
  <c r="S193" s="1"/>
  <c r="T193" s="1"/>
  <c r="U193" s="1"/>
  <c r="X193"/>
  <c r="AB193"/>
  <c r="S194"/>
  <c r="T194" s="1"/>
  <c r="U194" s="1"/>
  <c r="AB194"/>
  <c r="S195"/>
  <c r="T195" s="1"/>
  <c r="U195" s="1"/>
  <c r="AB195"/>
  <c r="I196"/>
  <c r="J196" s="1"/>
  <c r="K196" s="1"/>
  <c r="O196"/>
  <c r="V196"/>
  <c r="W196"/>
  <c r="X196"/>
  <c r="AB196"/>
  <c r="I197"/>
  <c r="J197" s="1"/>
  <c r="K197" s="1"/>
  <c r="O197"/>
  <c r="W197"/>
  <c r="X197"/>
  <c r="AB197"/>
  <c r="I198"/>
  <c r="J198" s="1"/>
  <c r="K198" s="1"/>
  <c r="O198"/>
  <c r="W198"/>
  <c r="X198"/>
  <c r="AB198"/>
  <c r="I199"/>
  <c r="J199" s="1"/>
  <c r="K199" s="1"/>
  <c r="O199"/>
  <c r="W199"/>
  <c r="S199" s="1"/>
  <c r="T199" s="1"/>
  <c r="U199" s="1"/>
  <c r="X199"/>
  <c r="AB199"/>
  <c r="I200"/>
  <c r="J200" s="1"/>
  <c r="K200" s="1"/>
  <c r="O200"/>
  <c r="W200"/>
  <c r="X200"/>
  <c r="AB200"/>
  <c r="I201"/>
  <c r="J201" s="1"/>
  <c r="K201" s="1"/>
  <c r="O201"/>
  <c r="W201"/>
  <c r="S201" s="1"/>
  <c r="T201" s="1"/>
  <c r="U201" s="1"/>
  <c r="X201"/>
  <c r="AB201"/>
  <c r="I202"/>
  <c r="J202" s="1"/>
  <c r="K202" s="1"/>
  <c r="O202"/>
  <c r="V202"/>
  <c r="W202"/>
  <c r="X202"/>
  <c r="AB202"/>
  <c r="I203"/>
  <c r="J203" s="1"/>
  <c r="K203" s="1"/>
  <c r="O203"/>
  <c r="V203"/>
  <c r="W203"/>
  <c r="X203"/>
  <c r="AB203"/>
  <c r="I204"/>
  <c r="J204" s="1"/>
  <c r="K204" s="1"/>
  <c r="O204"/>
  <c r="V204"/>
  <c r="W204"/>
  <c r="X204"/>
  <c r="AB204"/>
  <c r="I205"/>
  <c r="J205" s="1"/>
  <c r="K205" s="1"/>
  <c r="O205"/>
  <c r="V205"/>
  <c r="W205"/>
  <c r="X205"/>
  <c r="AB205"/>
  <c r="I206"/>
  <c r="J206" s="1"/>
  <c r="K206" s="1"/>
  <c r="O206"/>
  <c r="V206"/>
  <c r="W206"/>
  <c r="X206"/>
  <c r="AB206"/>
  <c r="I207"/>
  <c r="J207" s="1"/>
  <c r="K207" s="1"/>
  <c r="O207"/>
  <c r="V207"/>
  <c r="W207"/>
  <c r="X207"/>
  <c r="AB207"/>
  <c r="I208"/>
  <c r="J208" s="1"/>
  <c r="K208" s="1"/>
  <c r="O208"/>
  <c r="V208"/>
  <c r="W208"/>
  <c r="X208"/>
  <c r="AB208"/>
  <c r="I209"/>
  <c r="J209" s="1"/>
  <c r="K209" s="1"/>
  <c r="O209"/>
  <c r="V209"/>
  <c r="W209"/>
  <c r="X209"/>
  <c r="AB209"/>
  <c r="I210"/>
  <c r="J210" s="1"/>
  <c r="K210" s="1"/>
  <c r="O210"/>
  <c r="V210"/>
  <c r="W210"/>
  <c r="X210"/>
  <c r="AB210"/>
  <c r="I211"/>
  <c r="J211" s="1"/>
  <c r="K211" s="1"/>
  <c r="O211"/>
  <c r="V211"/>
  <c r="W211"/>
  <c r="X211"/>
  <c r="AB211"/>
  <c r="I212"/>
  <c r="J212" s="1"/>
  <c r="K212" s="1"/>
  <c r="O212"/>
  <c r="V212"/>
  <c r="W212"/>
  <c r="X212"/>
  <c r="AB212"/>
  <c r="I213"/>
  <c r="J213" s="1"/>
  <c r="K213" s="1"/>
  <c r="O213"/>
  <c r="V213"/>
  <c r="W213"/>
  <c r="X213"/>
  <c r="AB213"/>
  <c r="I214"/>
  <c r="J214" s="1"/>
  <c r="K214" s="1"/>
  <c r="O214"/>
  <c r="V214"/>
  <c r="W214"/>
  <c r="X214"/>
  <c r="AB214"/>
  <c r="I215"/>
  <c r="J215" s="1"/>
  <c r="K215" s="1"/>
  <c r="O215"/>
  <c r="V215"/>
  <c r="W215"/>
  <c r="X215"/>
  <c r="AB215"/>
  <c r="I216"/>
  <c r="J216" s="1"/>
  <c r="K216" s="1"/>
  <c r="O216"/>
  <c r="V216"/>
  <c r="W216"/>
  <c r="X216"/>
  <c r="AB216"/>
  <c r="I217"/>
  <c r="J217"/>
  <c r="K217" s="1"/>
  <c r="O217"/>
  <c r="V217"/>
  <c r="W217"/>
  <c r="X217"/>
  <c r="AB217"/>
  <c r="I218"/>
  <c r="J218" s="1"/>
  <c r="K218" s="1"/>
  <c r="O218"/>
  <c r="V218"/>
  <c r="W218"/>
  <c r="X218"/>
  <c r="AB218"/>
  <c r="S219"/>
  <c r="T219" s="1"/>
  <c r="U219" s="1"/>
  <c r="AB219"/>
  <c r="L220"/>
  <c r="M220"/>
  <c r="N220"/>
  <c r="P220"/>
  <c r="Q220"/>
  <c r="R220"/>
  <c r="AB220"/>
  <c r="I221"/>
  <c r="J221" s="1"/>
  <c r="O221"/>
  <c r="V221"/>
  <c r="W221"/>
  <c r="X221"/>
  <c r="S221" s="1"/>
  <c r="T221" s="1"/>
  <c r="U221" s="1"/>
  <c r="AB221"/>
  <c r="I222"/>
  <c r="J222" s="1"/>
  <c r="K222" s="1"/>
  <c r="O222"/>
  <c r="V222"/>
  <c r="W222"/>
  <c r="X222"/>
  <c r="AB222"/>
  <c r="S223"/>
  <c r="T223" s="1"/>
  <c r="U223" s="1"/>
  <c r="AB223"/>
  <c r="L224"/>
  <c r="M224"/>
  <c r="N224"/>
  <c r="P224"/>
  <c r="Q224"/>
  <c r="R224"/>
  <c r="AB224"/>
  <c r="I225"/>
  <c r="J225" s="1"/>
  <c r="K225" s="1"/>
  <c r="O225"/>
  <c r="V225"/>
  <c r="W225"/>
  <c r="S225" s="1"/>
  <c r="T225" s="1"/>
  <c r="U225" s="1"/>
  <c r="X225"/>
  <c r="AB225"/>
  <c r="I226"/>
  <c r="J226" s="1"/>
  <c r="O226"/>
  <c r="V226"/>
  <c r="W226"/>
  <c r="X226"/>
  <c r="AB226"/>
  <c r="I227"/>
  <c r="J227" s="1"/>
  <c r="K227" s="1"/>
  <c r="O227"/>
  <c r="V227"/>
  <c r="W227"/>
  <c r="X227"/>
  <c r="AB227"/>
  <c r="I228"/>
  <c r="J228" s="1"/>
  <c r="K228" s="1"/>
  <c r="O228"/>
  <c r="V228"/>
  <c r="V224" s="1"/>
  <c r="W228"/>
  <c r="X228"/>
  <c r="AB228"/>
  <c r="I229"/>
  <c r="J229" s="1"/>
  <c r="K229" s="1"/>
  <c r="O229"/>
  <c r="V229"/>
  <c r="W229"/>
  <c r="X229"/>
  <c r="AB229"/>
  <c r="S230"/>
  <c r="T230" s="1"/>
  <c r="U230" s="1"/>
  <c r="AB230"/>
  <c r="L231"/>
  <c r="M231"/>
  <c r="N231"/>
  <c r="P231"/>
  <c r="Q231"/>
  <c r="R231"/>
  <c r="AB231"/>
  <c r="I232"/>
  <c r="J232" s="1"/>
  <c r="K232" s="1"/>
  <c r="O232"/>
  <c r="V232"/>
  <c r="W232"/>
  <c r="X232"/>
  <c r="S232" s="1"/>
  <c r="T232" s="1"/>
  <c r="U232" s="1"/>
  <c r="AB232"/>
  <c r="I233"/>
  <c r="J233" s="1"/>
  <c r="O233"/>
  <c r="V233"/>
  <c r="W233"/>
  <c r="X233"/>
  <c r="AB233"/>
  <c r="I234"/>
  <c r="J234" s="1"/>
  <c r="K234" s="1"/>
  <c r="O234"/>
  <c r="V234"/>
  <c r="W234"/>
  <c r="X234"/>
  <c r="AB234"/>
  <c r="I235"/>
  <c r="J235" s="1"/>
  <c r="K235" s="1"/>
  <c r="O235"/>
  <c r="V235"/>
  <c r="W235"/>
  <c r="X235"/>
  <c r="AB235"/>
  <c r="I236"/>
  <c r="J236" s="1"/>
  <c r="K236" s="1"/>
  <c r="O236"/>
  <c r="V236"/>
  <c r="W236"/>
  <c r="X236"/>
  <c r="AB236"/>
  <c r="S237"/>
  <c r="T237"/>
  <c r="U237" s="1"/>
  <c r="AB237"/>
  <c r="L238"/>
  <c r="M238"/>
  <c r="N238"/>
  <c r="P238"/>
  <c r="Q238"/>
  <c r="R238"/>
  <c r="AB238"/>
  <c r="I239"/>
  <c r="J239" s="1"/>
  <c r="K239" s="1"/>
  <c r="O239"/>
  <c r="V239"/>
  <c r="W239"/>
  <c r="X239"/>
  <c r="X238" s="1"/>
  <c r="AB239"/>
  <c r="I240"/>
  <c r="J240" s="1"/>
  <c r="K240" s="1"/>
  <c r="O240"/>
  <c r="O238" s="1"/>
  <c r="V240"/>
  <c r="W240"/>
  <c r="X240"/>
  <c r="AB240"/>
  <c r="S241"/>
  <c r="T241" s="1"/>
  <c r="U241" s="1"/>
  <c r="AB241"/>
  <c r="L242"/>
  <c r="M242"/>
  <c r="N242"/>
  <c r="P242"/>
  <c r="Q242"/>
  <c r="R242"/>
  <c r="AB242"/>
  <c r="I243"/>
  <c r="J243" s="1"/>
  <c r="O243"/>
  <c r="V243"/>
  <c r="S243" s="1"/>
  <c r="T243" s="1"/>
  <c r="U243" s="1"/>
  <c r="W243"/>
  <c r="X243"/>
  <c r="AB243"/>
  <c r="I244"/>
  <c r="J244" s="1"/>
  <c r="K244" s="1"/>
  <c r="O244"/>
  <c r="V244"/>
  <c r="W244"/>
  <c r="X244"/>
  <c r="AB244"/>
  <c r="I245"/>
  <c r="J245" s="1"/>
  <c r="K245" s="1"/>
  <c r="O245"/>
  <c r="V245"/>
  <c r="W245"/>
  <c r="X245"/>
  <c r="AB245"/>
  <c r="S246"/>
  <c r="T246" s="1"/>
  <c r="U246" s="1"/>
  <c r="S247"/>
  <c r="T247" s="1"/>
  <c r="U247" s="1"/>
  <c r="S248"/>
  <c r="T248" s="1"/>
  <c r="U248" s="1"/>
  <c r="C252"/>
  <c r="C273" s="1"/>
  <c r="D252"/>
  <c r="D273" s="1"/>
  <c r="E252"/>
  <c r="F252"/>
  <c r="F273" s="1"/>
  <c r="G252"/>
  <c r="G273" s="1"/>
  <c r="H252"/>
  <c r="H273" s="1"/>
  <c r="L252"/>
  <c r="M252"/>
  <c r="M273" s="1"/>
  <c r="N252"/>
  <c r="N273" s="1"/>
  <c r="P252"/>
  <c r="P273" s="1"/>
  <c r="Q252"/>
  <c r="R252"/>
  <c r="R273" s="1"/>
  <c r="AB252"/>
  <c r="AB273" s="1"/>
  <c r="AC252"/>
  <c r="AC273" s="1"/>
  <c r="AD252"/>
  <c r="AD273" s="1"/>
  <c r="I253"/>
  <c r="O253"/>
  <c r="U253"/>
  <c r="V253"/>
  <c r="W253"/>
  <c r="X253"/>
  <c r="Y253"/>
  <c r="I254"/>
  <c r="J254" s="1"/>
  <c r="O254"/>
  <c r="V254"/>
  <c r="W254"/>
  <c r="X254"/>
  <c r="Z254"/>
  <c r="AA254"/>
  <c r="I255"/>
  <c r="O255"/>
  <c r="V255"/>
  <c r="W255"/>
  <c r="X255"/>
  <c r="Z255"/>
  <c r="AA255"/>
  <c r="I256"/>
  <c r="O256"/>
  <c r="V256"/>
  <c r="W256"/>
  <c r="X256"/>
  <c r="Y256"/>
  <c r="I257"/>
  <c r="O257"/>
  <c r="V257"/>
  <c r="W257"/>
  <c r="X257"/>
  <c r="Y257"/>
  <c r="I258"/>
  <c r="O258"/>
  <c r="V258"/>
  <c r="W258"/>
  <c r="X258"/>
  <c r="Y258"/>
  <c r="I259"/>
  <c r="J259" s="1"/>
  <c r="K259" s="1"/>
  <c r="O259"/>
  <c r="V259"/>
  <c r="W259"/>
  <c r="X259"/>
  <c r="Y259"/>
  <c r="I260"/>
  <c r="J260" s="1"/>
  <c r="K260" s="1"/>
  <c r="O260"/>
  <c r="V260"/>
  <c r="W260"/>
  <c r="X260"/>
  <c r="Y260"/>
  <c r="I261"/>
  <c r="J261" s="1"/>
  <c r="K261" s="1"/>
  <c r="O261"/>
  <c r="V261"/>
  <c r="W261"/>
  <c r="X261"/>
  <c r="Y261"/>
  <c r="I262"/>
  <c r="J262" s="1"/>
  <c r="K262" s="1"/>
  <c r="O262"/>
  <c r="V262"/>
  <c r="W262"/>
  <c r="X262"/>
  <c r="Y262"/>
  <c r="I263"/>
  <c r="J263" s="1"/>
  <c r="K263" s="1"/>
  <c r="O263"/>
  <c r="W263"/>
  <c r="S263" s="1"/>
  <c r="T263" s="1"/>
  <c r="U263" s="1"/>
  <c r="X263"/>
  <c r="Y263"/>
  <c r="I264"/>
  <c r="J264" s="1"/>
  <c r="K264" s="1"/>
  <c r="O264"/>
  <c r="W264"/>
  <c r="X264"/>
  <c r="Y264"/>
  <c r="I265"/>
  <c r="O265"/>
  <c r="V265"/>
  <c r="W265"/>
  <c r="X265"/>
  <c r="Y265"/>
  <c r="I266"/>
  <c r="O266"/>
  <c r="V266"/>
  <c r="W266"/>
  <c r="X266"/>
  <c r="Y266"/>
  <c r="I267"/>
  <c r="J267" s="1"/>
  <c r="K267" s="1"/>
  <c r="O267"/>
  <c r="V267"/>
  <c r="W267"/>
  <c r="X267"/>
  <c r="Y267"/>
  <c r="I268"/>
  <c r="J268" s="1"/>
  <c r="K268" s="1"/>
  <c r="O268"/>
  <c r="V268"/>
  <c r="S268" s="1"/>
  <c r="T268" s="1"/>
  <c r="W268"/>
  <c r="X268"/>
  <c r="Y268"/>
  <c r="I269"/>
  <c r="O269"/>
  <c r="V269"/>
  <c r="W269"/>
  <c r="X269"/>
  <c r="Y269"/>
  <c r="I270"/>
  <c r="J270" s="1"/>
  <c r="K270" s="1"/>
  <c r="O270"/>
  <c r="W270"/>
  <c r="X270"/>
  <c r="Y270"/>
  <c r="I271"/>
  <c r="J271" s="1"/>
  <c r="K271" s="1"/>
  <c r="O271"/>
  <c r="V271"/>
  <c r="W271"/>
  <c r="X271"/>
  <c r="E273"/>
  <c r="L273"/>
  <c r="Q273"/>
  <c r="C275"/>
  <c r="D275"/>
  <c r="E275"/>
  <c r="F275"/>
  <c r="G275"/>
  <c r="H275"/>
  <c r="L275"/>
  <c r="M275"/>
  <c r="N275"/>
  <c r="P275"/>
  <c r="Q275"/>
  <c r="R275"/>
  <c r="Z275"/>
  <c r="Z380" s="1"/>
  <c r="AA275"/>
  <c r="AB275"/>
  <c r="AC275"/>
  <c r="AD275"/>
  <c r="I276"/>
  <c r="J276" s="1"/>
  <c r="K276" s="1"/>
  <c r="O276"/>
  <c r="V276"/>
  <c r="W276"/>
  <c r="S276" s="1"/>
  <c r="T276" s="1"/>
  <c r="U276" s="1"/>
  <c r="X276"/>
  <c r="Y276"/>
  <c r="I277"/>
  <c r="O277"/>
  <c r="V277"/>
  <c r="W277"/>
  <c r="X277"/>
  <c r="Y277"/>
  <c r="I278"/>
  <c r="J278" s="1"/>
  <c r="K278" s="1"/>
  <c r="O278"/>
  <c r="W278"/>
  <c r="X278"/>
  <c r="Y278"/>
  <c r="I279"/>
  <c r="J279" s="1"/>
  <c r="K279" s="1"/>
  <c r="O279"/>
  <c r="W279"/>
  <c r="X279"/>
  <c r="Y279"/>
  <c r="I280"/>
  <c r="J280" s="1"/>
  <c r="K280" s="1"/>
  <c r="O280"/>
  <c r="U280"/>
  <c r="V280"/>
  <c r="W280"/>
  <c r="X280"/>
  <c r="Y280"/>
  <c r="I281"/>
  <c r="J281" s="1"/>
  <c r="K281" s="1"/>
  <c r="O281"/>
  <c r="W281"/>
  <c r="X281"/>
  <c r="Y281"/>
  <c r="I282"/>
  <c r="J282" s="1"/>
  <c r="K282" s="1"/>
  <c r="O282"/>
  <c r="W282"/>
  <c r="S282" s="1"/>
  <c r="T282" s="1"/>
  <c r="U282" s="1"/>
  <c r="X282"/>
  <c r="Y282"/>
  <c r="I283"/>
  <c r="J283" s="1"/>
  <c r="K283" s="1"/>
  <c r="O283"/>
  <c r="V283"/>
  <c r="W283"/>
  <c r="X283"/>
  <c r="Y283"/>
  <c r="I284"/>
  <c r="J284" s="1"/>
  <c r="K284" s="1"/>
  <c r="O284"/>
  <c r="W284"/>
  <c r="S284" s="1"/>
  <c r="T284" s="1"/>
  <c r="U284" s="1"/>
  <c r="X284"/>
  <c r="Y284"/>
  <c r="I285"/>
  <c r="J285" s="1"/>
  <c r="K285" s="1"/>
  <c r="O285"/>
  <c r="V285"/>
  <c r="W285"/>
  <c r="X285"/>
  <c r="Y285"/>
  <c r="I286"/>
  <c r="J286" s="1"/>
  <c r="K286" s="1"/>
  <c r="O286"/>
  <c r="V286"/>
  <c r="W286"/>
  <c r="X286"/>
  <c r="Y286"/>
  <c r="I287"/>
  <c r="J287" s="1"/>
  <c r="K287" s="1"/>
  <c r="O287"/>
  <c r="W287"/>
  <c r="X287"/>
  <c r="Y287"/>
  <c r="I288"/>
  <c r="J288" s="1"/>
  <c r="K288" s="1"/>
  <c r="O288"/>
  <c r="V288"/>
  <c r="W288"/>
  <c r="X288"/>
  <c r="Y288"/>
  <c r="I289"/>
  <c r="J289" s="1"/>
  <c r="K289" s="1"/>
  <c r="O289"/>
  <c r="V289"/>
  <c r="W289"/>
  <c r="X289"/>
  <c r="Y289"/>
  <c r="I290"/>
  <c r="J290" s="1"/>
  <c r="K290" s="1"/>
  <c r="O290"/>
  <c r="W290"/>
  <c r="X290"/>
  <c r="Y290"/>
  <c r="I291"/>
  <c r="J291" s="1"/>
  <c r="K291" s="1"/>
  <c r="O291"/>
  <c r="V291"/>
  <c r="S291" s="1"/>
  <c r="T291" s="1"/>
  <c r="U291" s="1"/>
  <c r="W291"/>
  <c r="X291"/>
  <c r="Y291"/>
  <c r="I292"/>
  <c r="J292" s="1"/>
  <c r="K292" s="1"/>
  <c r="O292"/>
  <c r="V292"/>
  <c r="W292"/>
  <c r="X292"/>
  <c r="Y292"/>
  <c r="I293"/>
  <c r="J293" s="1"/>
  <c r="K293" s="1"/>
  <c r="O293"/>
  <c r="V293"/>
  <c r="W293"/>
  <c r="X293"/>
  <c r="Y293"/>
  <c r="I294"/>
  <c r="J294" s="1"/>
  <c r="K294" s="1"/>
  <c r="O294"/>
  <c r="V294"/>
  <c r="W294"/>
  <c r="X294"/>
  <c r="I295"/>
  <c r="J295" s="1"/>
  <c r="K295" s="1"/>
  <c r="O295"/>
  <c r="V295"/>
  <c r="W295"/>
  <c r="X295"/>
  <c r="Y295"/>
  <c r="I296"/>
  <c r="J296" s="1"/>
  <c r="K296" s="1"/>
  <c r="O296"/>
  <c r="V296"/>
  <c r="W296"/>
  <c r="X296"/>
  <c r="Y296"/>
  <c r="I297"/>
  <c r="J297" s="1"/>
  <c r="K297" s="1"/>
  <c r="O297"/>
  <c r="W297"/>
  <c r="X297"/>
  <c r="Y297"/>
  <c r="I298"/>
  <c r="J298" s="1"/>
  <c r="K298" s="1"/>
  <c r="O298"/>
  <c r="V298"/>
  <c r="W298"/>
  <c r="X298"/>
  <c r="Y298"/>
  <c r="I299"/>
  <c r="J299" s="1"/>
  <c r="K299" s="1"/>
  <c r="O299"/>
  <c r="V299"/>
  <c r="W299"/>
  <c r="X299"/>
  <c r="Y299"/>
  <c r="I300"/>
  <c r="J300" s="1"/>
  <c r="K300" s="1"/>
  <c r="O300"/>
  <c r="V300"/>
  <c r="W300"/>
  <c r="X300"/>
  <c r="Y300"/>
  <c r="I301"/>
  <c r="J301" s="1"/>
  <c r="K301" s="1"/>
  <c r="O301"/>
  <c r="V301"/>
  <c r="W301"/>
  <c r="X301"/>
  <c r="S301" s="1"/>
  <c r="T301" s="1"/>
  <c r="U301" s="1"/>
  <c r="Y301"/>
  <c r="I302"/>
  <c r="J302" s="1"/>
  <c r="K302" s="1"/>
  <c r="O302"/>
  <c r="V302"/>
  <c r="S302" s="1"/>
  <c r="T302" s="1"/>
  <c r="U302" s="1"/>
  <c r="W302"/>
  <c r="X302"/>
  <c r="Y302"/>
  <c r="I303"/>
  <c r="O303"/>
  <c r="V303"/>
  <c r="W303"/>
  <c r="X303"/>
  <c r="Y303"/>
  <c r="I304"/>
  <c r="O304"/>
  <c r="V304"/>
  <c r="W304"/>
  <c r="X304"/>
  <c r="Y304"/>
  <c r="I305"/>
  <c r="O305"/>
  <c r="V305"/>
  <c r="W305"/>
  <c r="X305"/>
  <c r="Y305"/>
  <c r="I306"/>
  <c r="O306"/>
  <c r="V306"/>
  <c r="S306" s="1"/>
  <c r="T306" s="1"/>
  <c r="U306" s="1"/>
  <c r="W306"/>
  <c r="X306"/>
  <c r="Y306"/>
  <c r="I307"/>
  <c r="O307"/>
  <c r="W307"/>
  <c r="X307"/>
  <c r="I308"/>
  <c r="J308" s="1"/>
  <c r="K308" s="1"/>
  <c r="O308"/>
  <c r="V308"/>
  <c r="W308"/>
  <c r="X308"/>
  <c r="Y308"/>
  <c r="I309"/>
  <c r="O309"/>
  <c r="V309"/>
  <c r="S309" s="1"/>
  <c r="T309" s="1"/>
  <c r="U309" s="1"/>
  <c r="W309"/>
  <c r="X309"/>
  <c r="Y309"/>
  <c r="I310"/>
  <c r="O310"/>
  <c r="V310"/>
  <c r="W310"/>
  <c r="X310"/>
  <c r="Y310"/>
  <c r="I311"/>
  <c r="O311"/>
  <c r="V311"/>
  <c r="W311"/>
  <c r="X311"/>
  <c r="Y311"/>
  <c r="I312"/>
  <c r="O312"/>
  <c r="W312"/>
  <c r="X312"/>
  <c r="Y312"/>
  <c r="I313"/>
  <c r="J313" s="1"/>
  <c r="K313" s="1"/>
  <c r="O313"/>
  <c r="W313"/>
  <c r="X313"/>
  <c r="Y313"/>
  <c r="I314"/>
  <c r="O314"/>
  <c r="U314"/>
  <c r="V314"/>
  <c r="W314"/>
  <c r="X314"/>
  <c r="Y314"/>
  <c r="I315"/>
  <c r="J315" s="1"/>
  <c r="K315" s="1"/>
  <c r="O315"/>
  <c r="W315"/>
  <c r="X315"/>
  <c r="Y315"/>
  <c r="I316"/>
  <c r="J316" s="1"/>
  <c r="K316" s="1"/>
  <c r="O316"/>
  <c r="V316"/>
  <c r="W316"/>
  <c r="X316"/>
  <c r="Y316"/>
  <c r="I317"/>
  <c r="O317"/>
  <c r="V317"/>
  <c r="W317"/>
  <c r="X317"/>
  <c r="Y317"/>
  <c r="I318"/>
  <c r="O318"/>
  <c r="W318"/>
  <c r="X318"/>
  <c r="Y318"/>
  <c r="I319"/>
  <c r="J319" s="1"/>
  <c r="K319" s="1"/>
  <c r="O319"/>
  <c r="W319"/>
  <c r="X319"/>
  <c r="Y319"/>
  <c r="I320"/>
  <c r="J320" s="1"/>
  <c r="K320" s="1"/>
  <c r="O320"/>
  <c r="V320"/>
  <c r="W320"/>
  <c r="X320"/>
  <c r="Y320"/>
  <c r="I321"/>
  <c r="J321" s="1"/>
  <c r="K321" s="1"/>
  <c r="O321"/>
  <c r="V321"/>
  <c r="W321"/>
  <c r="X321"/>
  <c r="Y321"/>
  <c r="I322"/>
  <c r="J322" s="1"/>
  <c r="K322" s="1"/>
  <c r="O322"/>
  <c r="V322"/>
  <c r="W322"/>
  <c r="X322"/>
  <c r="Y322"/>
  <c r="I323"/>
  <c r="J323" s="1"/>
  <c r="K323" s="1"/>
  <c r="O323"/>
  <c r="V323"/>
  <c r="W323"/>
  <c r="X323"/>
  <c r="Y323"/>
  <c r="I324"/>
  <c r="J324" s="1"/>
  <c r="K324" s="1"/>
  <c r="O324"/>
  <c r="W324"/>
  <c r="X324"/>
  <c r="Y324"/>
  <c r="I325"/>
  <c r="J325" s="1"/>
  <c r="K325" s="1"/>
  <c r="O325"/>
  <c r="V325"/>
  <c r="W325"/>
  <c r="X325"/>
  <c r="Y325"/>
  <c r="I326"/>
  <c r="J326" s="1"/>
  <c r="K326" s="1"/>
  <c r="O326"/>
  <c r="W326"/>
  <c r="X326"/>
  <c r="Y326"/>
  <c r="I327"/>
  <c r="O327"/>
  <c r="W327"/>
  <c r="X327"/>
  <c r="Y327"/>
  <c r="I328"/>
  <c r="J328" s="1"/>
  <c r="K328" s="1"/>
  <c r="O328"/>
  <c r="W328"/>
  <c r="X328"/>
  <c r="Y328"/>
  <c r="I329"/>
  <c r="J329" s="1"/>
  <c r="K329" s="1"/>
  <c r="O329"/>
  <c r="W329"/>
  <c r="S329" s="1"/>
  <c r="T329" s="1"/>
  <c r="U329" s="1"/>
  <c r="X329"/>
  <c r="Y329"/>
  <c r="I330"/>
  <c r="J330" s="1"/>
  <c r="K330" s="1"/>
  <c r="O330"/>
  <c r="W330"/>
  <c r="X330"/>
  <c r="Y330"/>
  <c r="I331"/>
  <c r="J331" s="1"/>
  <c r="K331" s="1"/>
  <c r="O331"/>
  <c r="V331"/>
  <c r="S331" s="1"/>
  <c r="T331" s="1"/>
  <c r="U331" s="1"/>
  <c r="W331"/>
  <c r="X331"/>
  <c r="Y331"/>
  <c r="I332"/>
  <c r="J332" s="1"/>
  <c r="K332" s="1"/>
  <c r="O332"/>
  <c r="V332"/>
  <c r="W332"/>
  <c r="X332"/>
  <c r="Y332"/>
  <c r="I333"/>
  <c r="J333" s="1"/>
  <c r="K333" s="1"/>
  <c r="O333"/>
  <c r="W333"/>
  <c r="S333" s="1"/>
  <c r="T333" s="1"/>
  <c r="U333" s="1"/>
  <c r="X333"/>
  <c r="Y333"/>
  <c r="I334"/>
  <c r="J334" s="1"/>
  <c r="K334" s="1"/>
  <c r="O334"/>
  <c r="W334"/>
  <c r="X334"/>
  <c r="Y334"/>
  <c r="I335"/>
  <c r="J335" s="1"/>
  <c r="K335" s="1"/>
  <c r="O335"/>
  <c r="V335"/>
  <c r="W335"/>
  <c r="X335"/>
  <c r="Y335"/>
  <c r="I336"/>
  <c r="J336" s="1"/>
  <c r="K336" s="1"/>
  <c r="O336"/>
  <c r="V336"/>
  <c r="W336"/>
  <c r="X336"/>
  <c r="Y336"/>
  <c r="I337"/>
  <c r="J337" s="1"/>
  <c r="K337" s="1"/>
  <c r="O337"/>
  <c r="W337"/>
  <c r="X337"/>
  <c r="Y337"/>
  <c r="I338"/>
  <c r="J338" s="1"/>
  <c r="K338" s="1"/>
  <c r="O338"/>
  <c r="W338"/>
  <c r="S338" s="1"/>
  <c r="X338"/>
  <c r="Y338"/>
  <c r="I339"/>
  <c r="J339" s="1"/>
  <c r="K339" s="1"/>
  <c r="O339"/>
  <c r="V339"/>
  <c r="W339"/>
  <c r="X339"/>
  <c r="Y339"/>
  <c r="I340"/>
  <c r="J340" s="1"/>
  <c r="K340" s="1"/>
  <c r="O340"/>
  <c r="V340"/>
  <c r="W340"/>
  <c r="X340"/>
  <c r="I341"/>
  <c r="J341" s="1"/>
  <c r="K341" s="1"/>
  <c r="O341"/>
  <c r="V341"/>
  <c r="W341"/>
  <c r="X341"/>
  <c r="I342"/>
  <c r="J342" s="1"/>
  <c r="K342" s="1"/>
  <c r="O342"/>
  <c r="V342"/>
  <c r="W342"/>
  <c r="X342"/>
  <c r="I343"/>
  <c r="J343" s="1"/>
  <c r="K343" s="1"/>
  <c r="O343"/>
  <c r="V343"/>
  <c r="W343"/>
  <c r="X343"/>
  <c r="I344"/>
  <c r="J344" s="1"/>
  <c r="K344" s="1"/>
  <c r="O344"/>
  <c r="V344"/>
  <c r="W344"/>
  <c r="X344"/>
  <c r="I345"/>
  <c r="J345" s="1"/>
  <c r="K345" s="1"/>
  <c r="O345"/>
  <c r="V345"/>
  <c r="W345"/>
  <c r="X345"/>
  <c r="I346"/>
  <c r="J346" s="1"/>
  <c r="K346" s="1"/>
  <c r="O346"/>
  <c r="V346"/>
  <c r="W346"/>
  <c r="X346"/>
  <c r="I347"/>
  <c r="J347" s="1"/>
  <c r="K347" s="1"/>
  <c r="O347"/>
  <c r="V347"/>
  <c r="W347"/>
  <c r="X347"/>
  <c r="I348"/>
  <c r="J348" s="1"/>
  <c r="K348" s="1"/>
  <c r="O348"/>
  <c r="V348"/>
  <c r="W348"/>
  <c r="X348"/>
  <c r="I349"/>
  <c r="J349" s="1"/>
  <c r="K349" s="1"/>
  <c r="O349"/>
  <c r="V349"/>
  <c r="W349"/>
  <c r="X349"/>
  <c r="I350"/>
  <c r="J350" s="1"/>
  <c r="K350" s="1"/>
  <c r="O350"/>
  <c r="V350"/>
  <c r="W350"/>
  <c r="X350"/>
  <c r="I351"/>
  <c r="J351" s="1"/>
  <c r="K351" s="1"/>
  <c r="O351"/>
  <c r="V351"/>
  <c r="W351"/>
  <c r="X351"/>
  <c r="S351" s="1"/>
  <c r="I352"/>
  <c r="J352" s="1"/>
  <c r="K352" s="1"/>
  <c r="O352"/>
  <c r="V352"/>
  <c r="W352"/>
  <c r="X352"/>
  <c r="I353"/>
  <c r="J353" s="1"/>
  <c r="K353" s="1"/>
  <c r="O353"/>
  <c r="V353"/>
  <c r="W353"/>
  <c r="X353"/>
  <c r="I354"/>
  <c r="J354" s="1"/>
  <c r="K354" s="1"/>
  <c r="O354"/>
  <c r="V354"/>
  <c r="W354"/>
  <c r="X354"/>
  <c r="I355"/>
  <c r="J355" s="1"/>
  <c r="K355" s="1"/>
  <c r="O355"/>
  <c r="V355"/>
  <c r="W355"/>
  <c r="X355"/>
  <c r="I356"/>
  <c r="J356" s="1"/>
  <c r="K356" s="1"/>
  <c r="O356"/>
  <c r="V356"/>
  <c r="W356"/>
  <c r="X356"/>
  <c r="I357"/>
  <c r="J357" s="1"/>
  <c r="K357" s="1"/>
  <c r="O357"/>
  <c r="V357"/>
  <c r="W357"/>
  <c r="X357"/>
  <c r="I358"/>
  <c r="J358" s="1"/>
  <c r="K358" s="1"/>
  <c r="O358"/>
  <c r="V358"/>
  <c r="W358"/>
  <c r="X358"/>
  <c r="I359"/>
  <c r="J359" s="1"/>
  <c r="K359" s="1"/>
  <c r="O359"/>
  <c r="V359"/>
  <c r="W359"/>
  <c r="X359"/>
  <c r="I360"/>
  <c r="J360" s="1"/>
  <c r="K360" s="1"/>
  <c r="O360"/>
  <c r="V360"/>
  <c r="W360"/>
  <c r="S360" s="1"/>
  <c r="X360"/>
  <c r="I361"/>
  <c r="J361" s="1"/>
  <c r="K361" s="1"/>
  <c r="O361"/>
  <c r="V361"/>
  <c r="W361"/>
  <c r="X361"/>
  <c r="I362"/>
  <c r="J362" s="1"/>
  <c r="K362" s="1"/>
  <c r="O362"/>
  <c r="V362"/>
  <c r="W362"/>
  <c r="X362"/>
  <c r="I363"/>
  <c r="J363" s="1"/>
  <c r="K363" s="1"/>
  <c r="O363"/>
  <c r="V363"/>
  <c r="W363"/>
  <c r="X363"/>
  <c r="I364"/>
  <c r="J364" s="1"/>
  <c r="K364" s="1"/>
  <c r="O364"/>
  <c r="V364"/>
  <c r="W364"/>
  <c r="X364"/>
  <c r="I365"/>
  <c r="J365" s="1"/>
  <c r="K365" s="1"/>
  <c r="O365"/>
  <c r="V365"/>
  <c r="W365"/>
  <c r="X365"/>
  <c r="I366"/>
  <c r="J366" s="1"/>
  <c r="K366" s="1"/>
  <c r="O366"/>
  <c r="V366"/>
  <c r="W366"/>
  <c r="X366"/>
  <c r="I367"/>
  <c r="J367" s="1"/>
  <c r="K367" s="1"/>
  <c r="O367"/>
  <c r="V367"/>
  <c r="W367"/>
  <c r="X367"/>
  <c r="S368"/>
  <c r="T368" s="1"/>
  <c r="U368" s="1"/>
  <c r="Y368"/>
  <c r="S369"/>
  <c r="T369" s="1"/>
  <c r="U369" s="1"/>
  <c r="Y369"/>
  <c r="S370"/>
  <c r="T370" s="1"/>
  <c r="U370" s="1"/>
  <c r="Y370"/>
  <c r="S371"/>
  <c r="T371" s="1"/>
  <c r="U371" s="1"/>
  <c r="Y371"/>
  <c r="S372"/>
  <c r="T372" s="1"/>
  <c r="U372" s="1"/>
  <c r="Y372"/>
  <c r="S373"/>
  <c r="T373" s="1"/>
  <c r="U373" s="1"/>
  <c r="Y373"/>
  <c r="S374"/>
  <c r="T374" s="1"/>
  <c r="U374" s="1"/>
  <c r="Y374"/>
  <c r="S375"/>
  <c r="C376"/>
  <c r="D376"/>
  <c r="E376"/>
  <c r="F376"/>
  <c r="G376"/>
  <c r="H376"/>
  <c r="L376"/>
  <c r="M376"/>
  <c r="N376"/>
  <c r="P376"/>
  <c r="Q376"/>
  <c r="R376"/>
  <c r="Z376"/>
  <c r="AA376"/>
  <c r="AA380" s="1"/>
  <c r="AB376"/>
  <c r="AC376"/>
  <c r="AC380" s="1"/>
  <c r="AD376"/>
  <c r="I377"/>
  <c r="O377"/>
  <c r="V377"/>
  <c r="V376" s="1"/>
  <c r="W377"/>
  <c r="X377"/>
  <c r="Y377"/>
  <c r="I378"/>
  <c r="J378" s="1"/>
  <c r="O378"/>
  <c r="X376"/>
  <c r="C384"/>
  <c r="C413" s="1"/>
  <c r="D384"/>
  <c r="E384"/>
  <c r="E413" s="1"/>
  <c r="F384"/>
  <c r="F413" s="1"/>
  <c r="G384"/>
  <c r="G413" s="1"/>
  <c r="H384"/>
  <c r="H413" s="1"/>
  <c r="K384"/>
  <c r="K413" s="1"/>
  <c r="L384"/>
  <c r="L413" s="1"/>
  <c r="M384"/>
  <c r="M413" s="1"/>
  <c r="N384"/>
  <c r="P384"/>
  <c r="P413" s="1"/>
  <c r="Q384"/>
  <c r="Q413" s="1"/>
  <c r="R384"/>
  <c r="U384"/>
  <c r="I385"/>
  <c r="O385"/>
  <c r="I386"/>
  <c r="J386" s="1"/>
  <c r="O386"/>
  <c r="T386"/>
  <c r="W386"/>
  <c r="X386"/>
  <c r="I387"/>
  <c r="J387" s="1"/>
  <c r="O387"/>
  <c r="V387"/>
  <c r="W387"/>
  <c r="X387"/>
  <c r="I388"/>
  <c r="J388" s="1"/>
  <c r="O388"/>
  <c r="V388"/>
  <c r="W388"/>
  <c r="X388"/>
  <c r="I389"/>
  <c r="J389" s="1"/>
  <c r="O389"/>
  <c r="V389"/>
  <c r="W389"/>
  <c r="X389"/>
  <c r="I390"/>
  <c r="O390"/>
  <c r="V390"/>
  <c r="W390"/>
  <c r="X390"/>
  <c r="I391"/>
  <c r="O391"/>
  <c r="V391"/>
  <c r="W391"/>
  <c r="X391"/>
  <c r="I392"/>
  <c r="O392"/>
  <c r="V392"/>
  <c r="W392"/>
  <c r="X392"/>
  <c r="I393"/>
  <c r="O393"/>
  <c r="V393"/>
  <c r="W393"/>
  <c r="X393"/>
  <c r="I394"/>
  <c r="O394"/>
  <c r="V394"/>
  <c r="W394"/>
  <c r="X394"/>
  <c r="I395"/>
  <c r="O395"/>
  <c r="V395"/>
  <c r="W395"/>
  <c r="X395"/>
  <c r="I396"/>
  <c r="O396"/>
  <c r="V396"/>
  <c r="W396"/>
  <c r="X396"/>
  <c r="I397"/>
  <c r="O397"/>
  <c r="V397"/>
  <c r="W397"/>
  <c r="X397"/>
  <c r="I398"/>
  <c r="O398"/>
  <c r="V398"/>
  <c r="W398"/>
  <c r="X398"/>
  <c r="I399"/>
  <c r="O399"/>
  <c r="V399"/>
  <c r="W399"/>
  <c r="X399"/>
  <c r="I400"/>
  <c r="O400"/>
  <c r="V400"/>
  <c r="W400"/>
  <c r="X400"/>
  <c r="I401"/>
  <c r="O401"/>
  <c r="V401"/>
  <c r="W401"/>
  <c r="X401"/>
  <c r="I402"/>
  <c r="O402"/>
  <c r="V402"/>
  <c r="W402"/>
  <c r="X402"/>
  <c r="I403"/>
  <c r="O403"/>
  <c r="V403"/>
  <c r="W403"/>
  <c r="X403"/>
  <c r="I404"/>
  <c r="O404"/>
  <c r="V404"/>
  <c r="W404"/>
  <c r="X404"/>
  <c r="I405"/>
  <c r="O405"/>
  <c r="V405"/>
  <c r="W405"/>
  <c r="X405"/>
  <c r="I406"/>
  <c r="O406"/>
  <c r="V406"/>
  <c r="W406"/>
  <c r="X406"/>
  <c r="I407"/>
  <c r="O407"/>
  <c r="V407"/>
  <c r="W407"/>
  <c r="X407"/>
  <c r="I408"/>
  <c r="O408"/>
  <c r="V408"/>
  <c r="W408"/>
  <c r="X408"/>
  <c r="I409"/>
  <c r="O409"/>
  <c r="V409"/>
  <c r="W409"/>
  <c r="X409"/>
  <c r="I410"/>
  <c r="O410"/>
  <c r="V410"/>
  <c r="W410"/>
  <c r="X410"/>
  <c r="O411"/>
  <c r="D413"/>
  <c r="N413"/>
  <c r="R413"/>
  <c r="U413"/>
  <c r="D7" i="16"/>
  <c r="E7"/>
  <c r="F7"/>
  <c r="F24"/>
  <c r="G7"/>
  <c r="G24" s="1"/>
  <c r="L7"/>
  <c r="L24"/>
  <c r="M7"/>
  <c r="M24" s="1"/>
  <c r="N7"/>
  <c r="P7"/>
  <c r="P24"/>
  <c r="Q7"/>
  <c r="R7"/>
  <c r="C8"/>
  <c r="C7" s="1"/>
  <c r="C24" s="1"/>
  <c r="I8"/>
  <c r="I7" s="1"/>
  <c r="I24" s="1"/>
  <c r="J8"/>
  <c r="O8"/>
  <c r="O7" s="1"/>
  <c r="O24" s="1"/>
  <c r="V8"/>
  <c r="S8" s="1"/>
  <c r="T8" s="1"/>
  <c r="W8"/>
  <c r="W7" s="1"/>
  <c r="W24" s="1"/>
  <c r="X8"/>
  <c r="X7"/>
  <c r="I9"/>
  <c r="J9" s="1"/>
  <c r="K9" s="1"/>
  <c r="O9"/>
  <c r="V9"/>
  <c r="S9" s="1"/>
  <c r="W9"/>
  <c r="S10"/>
  <c r="I11"/>
  <c r="J11"/>
  <c r="K11" s="1"/>
  <c r="O11"/>
  <c r="I12"/>
  <c r="J12"/>
  <c r="K12" s="1"/>
  <c r="O12"/>
  <c r="I13"/>
  <c r="J13"/>
  <c r="K13" s="1"/>
  <c r="O13"/>
  <c r="V13"/>
  <c r="W13"/>
  <c r="I14"/>
  <c r="J14"/>
  <c r="K14" s="1"/>
  <c r="O14"/>
  <c r="V14"/>
  <c r="S14" s="1"/>
  <c r="T14" s="1"/>
  <c r="U14" s="1"/>
  <c r="AA14" s="1"/>
  <c r="X14" s="1"/>
  <c r="Y14" s="1"/>
  <c r="Z14" s="1"/>
  <c r="W14"/>
  <c r="AB14"/>
  <c r="I15"/>
  <c r="J15" s="1"/>
  <c r="K15" s="1"/>
  <c r="O15"/>
  <c r="V15"/>
  <c r="AB15" s="1"/>
  <c r="W15"/>
  <c r="I16"/>
  <c r="J16" s="1"/>
  <c r="K16" s="1"/>
  <c r="O16"/>
  <c r="V16"/>
  <c r="AB16" s="1"/>
  <c r="W16"/>
  <c r="I17"/>
  <c r="J17"/>
  <c r="K17"/>
  <c r="O17"/>
  <c r="V17"/>
  <c r="AB17"/>
  <c r="W17"/>
  <c r="S17" s="1"/>
  <c r="I18"/>
  <c r="J18" s="1"/>
  <c r="K18" s="1"/>
  <c r="O18"/>
  <c r="V18"/>
  <c r="AB18" s="1"/>
  <c r="W18"/>
  <c r="S18"/>
  <c r="T18"/>
  <c r="U18" s="1"/>
  <c r="AA18" s="1"/>
  <c r="X18" s="1"/>
  <c r="Y18" s="1"/>
  <c r="Z18" s="1"/>
  <c r="I19"/>
  <c r="J19"/>
  <c r="K19" s="1"/>
  <c r="O19"/>
  <c r="V19"/>
  <c r="AB19"/>
  <c r="W19"/>
  <c r="I20"/>
  <c r="J20"/>
  <c r="K20"/>
  <c r="O20"/>
  <c r="V20"/>
  <c r="W20"/>
  <c r="S20"/>
  <c r="T20" s="1"/>
  <c r="U20" s="1"/>
  <c r="AA20" s="1"/>
  <c r="X20" s="1"/>
  <c r="Y20" s="1"/>
  <c r="Z20" s="1"/>
  <c r="AB20"/>
  <c r="I21"/>
  <c r="J21" s="1"/>
  <c r="K21" s="1"/>
  <c r="O21"/>
  <c r="V21"/>
  <c r="AB21" s="1"/>
  <c r="W21"/>
  <c r="I22"/>
  <c r="J22"/>
  <c r="K22" s="1"/>
  <c r="O22"/>
  <c r="V22"/>
  <c r="S22" s="1"/>
  <c r="T22" s="1"/>
  <c r="U22" s="1"/>
  <c r="AA22" s="1"/>
  <c r="X22" s="1"/>
  <c r="Y22" s="1"/>
  <c r="Z22" s="1"/>
  <c r="W22"/>
  <c r="AB22"/>
  <c r="I23"/>
  <c r="J23" s="1"/>
  <c r="K23" s="1"/>
  <c r="O23"/>
  <c r="V23"/>
  <c r="AB23" s="1"/>
  <c r="W23"/>
  <c r="D24"/>
  <c r="E24"/>
  <c r="N24"/>
  <c r="Q24"/>
  <c r="R24"/>
  <c r="BG109" i="9"/>
  <c r="L59" i="5"/>
  <c r="R59" s="1"/>
  <c r="L70" i="2"/>
  <c r="K61" i="12"/>
  <c r="E56" i="5"/>
  <c r="F15" i="2"/>
  <c r="BM82" i="11"/>
  <c r="U86"/>
  <c r="BN80"/>
  <c r="BM103"/>
  <c r="BR103"/>
  <c r="K64" i="2" s="1"/>
  <c r="Q64" s="1"/>
  <c r="K31" i="1" s="1"/>
  <c r="BN95" i="11"/>
  <c r="BM92"/>
  <c r="AS104"/>
  <c r="AW105"/>
  <c r="V105"/>
  <c r="AE86"/>
  <c r="AE87" s="1"/>
  <c r="AE105" s="1"/>
  <c r="O86"/>
  <c r="J86"/>
  <c r="BN72"/>
  <c r="BM69"/>
  <c r="BN67"/>
  <c r="BM66"/>
  <c r="BN64"/>
  <c r="T77"/>
  <c r="BN58"/>
  <c r="AS60"/>
  <c r="BN54"/>
  <c r="BN52"/>
  <c r="BN51"/>
  <c r="BN50"/>
  <c r="BM49"/>
  <c r="L61"/>
  <c r="AL107"/>
  <c r="K61"/>
  <c r="F61"/>
  <c r="BN44"/>
  <c r="BN40"/>
  <c r="BN37"/>
  <c r="BN36"/>
  <c r="AZ46"/>
  <c r="AZ61" s="1"/>
  <c r="AZ107" s="1"/>
  <c r="D46"/>
  <c r="D61" s="1"/>
  <c r="D107" s="1"/>
  <c r="BN33"/>
  <c r="BN32"/>
  <c r="BN27"/>
  <c r="BN23"/>
  <c r="BM21"/>
  <c r="BO75"/>
  <c r="H31" i="2" s="1"/>
  <c r="BQ67" i="11"/>
  <c r="D67" i="12" s="1"/>
  <c r="X67" s="1"/>
  <c r="BO20" i="11"/>
  <c r="BQ14"/>
  <c r="D14" i="12" s="1"/>
  <c r="X14" s="1"/>
  <c r="BM106" i="11"/>
  <c r="BN93"/>
  <c r="AV87"/>
  <c r="AV105" s="1"/>
  <c r="AJ87"/>
  <c r="AF87"/>
  <c r="AF105"/>
  <c r="AA87"/>
  <c r="AA105" s="1"/>
  <c r="K87"/>
  <c r="BN85"/>
  <c r="BN81"/>
  <c r="BH86"/>
  <c r="AN86"/>
  <c r="BF87"/>
  <c r="BF105"/>
  <c r="BN74"/>
  <c r="BM72"/>
  <c r="BN65"/>
  <c r="BM64"/>
  <c r="BN56"/>
  <c r="BM56"/>
  <c r="BN53"/>
  <c r="BM52"/>
  <c r="AI60"/>
  <c r="AH46"/>
  <c r="W46"/>
  <c r="W61"/>
  <c r="W107" s="1"/>
  <c r="BN43"/>
  <c r="BK41"/>
  <c r="BP41" s="1"/>
  <c r="C41" i="12" s="1"/>
  <c r="T45" i="11"/>
  <c r="AF46"/>
  <c r="AF61"/>
  <c r="BN34"/>
  <c r="BN31"/>
  <c r="BN24"/>
  <c r="BN21"/>
  <c r="BH35"/>
  <c r="AN35"/>
  <c r="O35"/>
  <c r="BQ82"/>
  <c r="BP79"/>
  <c r="C79" i="12" s="1"/>
  <c r="W79" s="1"/>
  <c r="BQ74" i="11"/>
  <c r="D74" i="12" s="1"/>
  <c r="X74" s="1"/>
  <c r="BO32" i="11"/>
  <c r="B32" i="12" s="1"/>
  <c r="V32" s="1"/>
  <c r="BP28" i="11"/>
  <c r="I19" i="5" s="1"/>
  <c r="BO25" i="11"/>
  <c r="B25" i="12" s="1"/>
  <c r="C59"/>
  <c r="BN97" i="11"/>
  <c r="BN94"/>
  <c r="BN92"/>
  <c r="BN91"/>
  <c r="AQ87"/>
  <c r="AQ105" s="1"/>
  <c r="AB87"/>
  <c r="W87"/>
  <c r="W105"/>
  <c r="L87"/>
  <c r="L105"/>
  <c r="L107"/>
  <c r="G87"/>
  <c r="G105" s="1"/>
  <c r="G107" s="1"/>
  <c r="BN83"/>
  <c r="BN82"/>
  <c r="T82"/>
  <c r="T86" s="1"/>
  <c r="T87" s="1"/>
  <c r="T105" s="1"/>
  <c r="BN79"/>
  <c r="BN78"/>
  <c r="BA87"/>
  <c r="BA105" s="1"/>
  <c r="AH77"/>
  <c r="AH87"/>
  <c r="AH105"/>
  <c r="AC87"/>
  <c r="AC105" s="1"/>
  <c r="BN75"/>
  <c r="BN73"/>
  <c r="BS73" s="1"/>
  <c r="F73" i="12" s="1"/>
  <c r="Z73" s="1"/>
  <c r="BN70" i="11"/>
  <c r="BM68"/>
  <c r="BI60"/>
  <c r="BN55"/>
  <c r="BR48"/>
  <c r="AP46"/>
  <c r="R46"/>
  <c r="C45"/>
  <c r="C46"/>
  <c r="C61" s="1"/>
  <c r="C107" s="1"/>
  <c r="AD45"/>
  <c r="J45"/>
  <c r="O45"/>
  <c r="BN38"/>
  <c r="BK36"/>
  <c r="BK45" s="1"/>
  <c r="BD45"/>
  <c r="AI45"/>
  <c r="AK46"/>
  <c r="AK61"/>
  <c r="BM34"/>
  <c r="BN29"/>
  <c r="BN19"/>
  <c r="BO96"/>
  <c r="H56" i="2" s="1"/>
  <c r="BO57" i="11"/>
  <c r="BP50"/>
  <c r="BO50"/>
  <c r="H44" i="5" s="1"/>
  <c r="N44" s="1"/>
  <c r="BQ43" i="11"/>
  <c r="BQ38"/>
  <c r="D38" i="12"/>
  <c r="X38" s="1"/>
  <c r="BO27" i="11"/>
  <c r="B27" i="12" s="1"/>
  <c r="V27" s="1"/>
  <c r="BQ23" i="11"/>
  <c r="BN96"/>
  <c r="BI104"/>
  <c r="AY104"/>
  <c r="AO104"/>
  <c r="AE104"/>
  <c r="U104"/>
  <c r="K104"/>
  <c r="K105"/>
  <c r="BN90"/>
  <c r="I105"/>
  <c r="C105"/>
  <c r="AS86"/>
  <c r="BM78"/>
  <c r="Z87"/>
  <c r="BN76"/>
  <c r="BN71"/>
  <c r="AD77"/>
  <c r="BM70"/>
  <c r="BN69"/>
  <c r="BN68"/>
  <c r="BN66"/>
  <c r="E60"/>
  <c r="BN57"/>
  <c r="BN49"/>
  <c r="BN42"/>
  <c r="BN41"/>
  <c r="BN39"/>
  <c r="BN30"/>
  <c r="BN28"/>
  <c r="BN26"/>
  <c r="BN25"/>
  <c r="BN20"/>
  <c r="BQ106"/>
  <c r="D106" i="12"/>
  <c r="BO97" i="11"/>
  <c r="B97" i="12" s="1"/>
  <c r="V97" s="1"/>
  <c r="BO95" i="11"/>
  <c r="B95" i="12" s="1"/>
  <c r="V95" s="1"/>
  <c r="BP85" i="11"/>
  <c r="C85" i="12" s="1"/>
  <c r="W85" s="1"/>
  <c r="BO83" i="11"/>
  <c r="H41" i="2" s="1"/>
  <c r="BP58" i="11"/>
  <c r="C58" i="12" s="1"/>
  <c r="W58" s="1"/>
  <c r="BO55" i="11"/>
  <c r="BP34"/>
  <c r="BO26"/>
  <c r="B26" i="12" s="1"/>
  <c r="V26" s="1"/>
  <c r="AQ46" i="11"/>
  <c r="AQ61" s="1"/>
  <c r="AQ107" s="1"/>
  <c r="BF46"/>
  <c r="BF61"/>
  <c r="BF107" s="1"/>
  <c r="F40" i="2"/>
  <c r="B106" i="12"/>
  <c r="V92"/>
  <c r="D49"/>
  <c r="X49"/>
  <c r="BX86" i="10"/>
  <c r="BX45"/>
  <c r="BX60" s="1"/>
  <c r="K45"/>
  <c r="K60"/>
  <c r="P87" i="11"/>
  <c r="P105" s="1"/>
  <c r="D32" i="5"/>
  <c r="D57" i="12"/>
  <c r="X57" s="1"/>
  <c r="D54" i="5"/>
  <c r="J156" i="15"/>
  <c r="K159"/>
  <c r="K156" s="1"/>
  <c r="T97" i="14"/>
  <c r="K85"/>
  <c r="C28" i="12"/>
  <c r="W28" s="1"/>
  <c r="I149" i="14"/>
  <c r="J150"/>
  <c r="J144" i="15"/>
  <c r="K148"/>
  <c r="K144" s="1"/>
  <c r="K129"/>
  <c r="K115" i="14"/>
  <c r="Q58" i="5"/>
  <c r="K188" i="14"/>
  <c r="K220"/>
  <c r="S83"/>
  <c r="V64" i="12"/>
  <c r="U162" i="14"/>
  <c r="U67"/>
  <c r="T35"/>
  <c r="U13"/>
  <c r="B11" i="12"/>
  <c r="V11" s="1"/>
  <c r="B75"/>
  <c r="V75" s="1"/>
  <c r="I11" i="2"/>
  <c r="C64" i="12"/>
  <c r="W64" s="1"/>
  <c r="I38" i="5"/>
  <c r="O38" s="1"/>
  <c r="W44" i="12"/>
  <c r="S102" i="14"/>
  <c r="V28" i="15"/>
  <c r="T281" i="14"/>
  <c r="S280"/>
  <c r="V56"/>
  <c r="S58"/>
  <c r="T58"/>
  <c r="U58"/>
  <c r="B35" i="1"/>
  <c r="H58" i="5"/>
  <c r="I43"/>
  <c r="J21"/>
  <c r="P21" s="1"/>
  <c r="D30" i="12"/>
  <c r="X30"/>
  <c r="C26"/>
  <c r="W26" s="1"/>
  <c r="BI94" i="10"/>
  <c r="BH94"/>
  <c r="BG103"/>
  <c r="DO88"/>
  <c r="DN69"/>
  <c r="BP70" i="11"/>
  <c r="C70" i="12" s="1"/>
  <c r="W70" s="1"/>
  <c r="DD76" i="10"/>
  <c r="DD86" s="1"/>
  <c r="DO64"/>
  <c r="BQ65" i="11" s="1"/>
  <c r="BG76" i="10"/>
  <c r="BH62"/>
  <c r="DN62"/>
  <c r="BF76"/>
  <c r="I44" i="5"/>
  <c r="O44" s="1"/>
  <c r="R44" s="1"/>
  <c r="C50" i="12"/>
  <c r="W50" s="1"/>
  <c r="DF48" i="10"/>
  <c r="BM59"/>
  <c r="CV44"/>
  <c r="BH11"/>
  <c r="DO11"/>
  <c r="B10" i="12"/>
  <c r="V10" s="1"/>
  <c r="BF92" i="9"/>
  <c r="AD109"/>
  <c r="BZ96" i="8"/>
  <c r="O104"/>
  <c r="U190" i="14"/>
  <c r="T91" i="12"/>
  <c r="R104"/>
  <c r="R105"/>
  <c r="H52" i="5"/>
  <c r="N52" s="1"/>
  <c r="V58" i="12"/>
  <c r="J25" i="5"/>
  <c r="P25" s="1"/>
  <c r="DF65" i="10"/>
  <c r="DP65" s="1"/>
  <c r="BM76"/>
  <c r="AJ76"/>
  <c r="DO63"/>
  <c r="DE76"/>
  <c r="BS76"/>
  <c r="CW59"/>
  <c r="DN46"/>
  <c r="BH46"/>
  <c r="BF59"/>
  <c r="AJ44"/>
  <c r="BH37"/>
  <c r="J44"/>
  <c r="BG44"/>
  <c r="DF30"/>
  <c r="BM34"/>
  <c r="BI14"/>
  <c r="DM14"/>
  <c r="BO15" i="11"/>
  <c r="B15" i="12"/>
  <c r="BF55" i="9"/>
  <c r="O64"/>
  <c r="B63" i="2"/>
  <c r="N63"/>
  <c r="B102" i="12"/>
  <c r="V102" s="1"/>
  <c r="F61" i="2"/>
  <c r="O280" i="14"/>
  <c r="I281"/>
  <c r="O141"/>
  <c r="I142"/>
  <c r="I56"/>
  <c r="J57"/>
  <c r="F72" i="13"/>
  <c r="F98" s="1"/>
  <c r="J35" i="1"/>
  <c r="J69" i="2"/>
  <c r="L69"/>
  <c r="BM90" i="11"/>
  <c r="AT86"/>
  <c r="AT87"/>
  <c r="AT105" s="1"/>
  <c r="AO77"/>
  <c r="BM63"/>
  <c r="BK77"/>
  <c r="I51" i="5"/>
  <c r="O51" s="1"/>
  <c r="C57" i="12"/>
  <c r="W57" s="1"/>
  <c r="BR47" i="11"/>
  <c r="C47" i="12"/>
  <c r="W47" s="1"/>
  <c r="BJ45" i="11"/>
  <c r="C39" i="12"/>
  <c r="W39" s="1"/>
  <c r="U45" i="11"/>
  <c r="U46"/>
  <c r="U61"/>
  <c r="AT45"/>
  <c r="H19" i="5"/>
  <c r="B28" i="12"/>
  <c r="V28"/>
  <c r="BP20" i="11"/>
  <c r="P35"/>
  <c r="P46"/>
  <c r="P61" s="1"/>
  <c r="DG105" i="10"/>
  <c r="DF105"/>
  <c r="B96" i="12"/>
  <c r="V96" s="1"/>
  <c r="BH93" i="10"/>
  <c r="BI93"/>
  <c r="DM92"/>
  <c r="BO93" i="11" s="1"/>
  <c r="BE103" i="10"/>
  <c r="DG91"/>
  <c r="DN91"/>
  <c r="BP92" i="11" s="1"/>
  <c r="C92" i="12" s="1"/>
  <c r="DF91" i="10"/>
  <c r="BO90" i="11"/>
  <c r="B90" i="12" s="1"/>
  <c r="DN77" i="10"/>
  <c r="BF85"/>
  <c r="BF86" s="1"/>
  <c r="BF104" s="1"/>
  <c r="AE85"/>
  <c r="H49" i="5"/>
  <c r="B55" i="12"/>
  <c r="V55" s="1"/>
  <c r="DM13" i="10"/>
  <c r="BO14" i="11" s="1"/>
  <c r="B14" i="12" s="1"/>
  <c r="V14" s="1"/>
  <c r="DG13" i="10"/>
  <c r="AN64" i="9"/>
  <c r="BF54"/>
  <c r="AN112"/>
  <c r="CG88" i="7"/>
  <c r="CE104"/>
  <c r="CG51"/>
  <c r="CE60"/>
  <c r="CE61"/>
  <c r="F60" i="5"/>
  <c r="J542" i="6"/>
  <c r="W231" i="15"/>
  <c r="X144"/>
  <c r="X113" i="14"/>
  <c r="O113"/>
  <c r="X65"/>
  <c r="O32"/>
  <c r="P186"/>
  <c r="P293" s="1"/>
  <c r="S104" i="12"/>
  <c r="H106"/>
  <c r="BM100" i="11"/>
  <c r="DO96" i="10"/>
  <c r="BQ97" i="11"/>
  <c r="DK103" i="10"/>
  <c r="DF83"/>
  <c r="BH74"/>
  <c r="BH73"/>
  <c r="BH71"/>
  <c r="BH70"/>
  <c r="CR76"/>
  <c r="CG76"/>
  <c r="DF69"/>
  <c r="DF68"/>
  <c r="AN76"/>
  <c r="AN86" s="1"/>
  <c r="AN104" s="1"/>
  <c r="T76"/>
  <c r="CB59"/>
  <c r="BA106"/>
  <c r="DO38"/>
  <c r="DN32"/>
  <c r="BP33" i="11" s="1"/>
  <c r="C33" i="12" s="1"/>
  <c r="W33" s="1"/>
  <c r="CG34" i="10"/>
  <c r="BZ101" i="8"/>
  <c r="BX45"/>
  <c r="S23" i="16"/>
  <c r="T23"/>
  <c r="U23"/>
  <c r="AA23" s="1"/>
  <c r="X23" s="1"/>
  <c r="Y23" s="1"/>
  <c r="Z23"/>
  <c r="S19"/>
  <c r="T19" s="1"/>
  <c r="U19" s="1"/>
  <c r="AA19" s="1"/>
  <c r="X19" s="1"/>
  <c r="Y19" s="1"/>
  <c r="Z19" s="1"/>
  <c r="T17"/>
  <c r="U17" s="1"/>
  <c r="AA17" s="1"/>
  <c r="X17" s="1"/>
  <c r="Y17" s="1"/>
  <c r="Z17" s="1"/>
  <c r="S15"/>
  <c r="T15"/>
  <c r="U15"/>
  <c r="AA15" s="1"/>
  <c r="X15" s="1"/>
  <c r="Y15" s="1"/>
  <c r="Z15" s="1"/>
  <c r="S13"/>
  <c r="T13" s="1"/>
  <c r="U13" s="1"/>
  <c r="AA13" s="1"/>
  <c r="J255" i="15"/>
  <c r="K255" s="1"/>
  <c r="I139"/>
  <c r="O271" i="14"/>
  <c r="W222"/>
  <c r="AC291"/>
  <c r="W188"/>
  <c r="W220"/>
  <c r="X161"/>
  <c r="V113"/>
  <c r="W109"/>
  <c r="K110"/>
  <c r="I102"/>
  <c r="T85"/>
  <c r="U85" s="1"/>
  <c r="U83" s="1"/>
  <c r="C32"/>
  <c r="C186"/>
  <c r="C293" s="1"/>
  <c r="I32"/>
  <c r="AB186"/>
  <c r="AB293"/>
  <c r="J104" i="12"/>
  <c r="O104"/>
  <c r="Q35"/>
  <c r="Q46" s="1"/>
  <c r="BO91" i="11"/>
  <c r="E104"/>
  <c r="H105"/>
  <c r="H107" s="1"/>
  <c r="BQ84"/>
  <c r="Y86"/>
  <c r="Y87"/>
  <c r="J77"/>
  <c r="J87" s="1"/>
  <c r="AX77"/>
  <c r="BH77"/>
  <c r="BH87" s="1"/>
  <c r="BC60"/>
  <c r="BE61"/>
  <c r="BE107"/>
  <c r="BM43"/>
  <c r="T35"/>
  <c r="T46"/>
  <c r="DF84" i="10"/>
  <c r="DM83"/>
  <c r="BO84" i="11"/>
  <c r="BC85" i="10"/>
  <c r="DD85"/>
  <c r="CG85"/>
  <c r="CG86" s="1"/>
  <c r="CG104" s="1"/>
  <c r="DN74"/>
  <c r="BP75" i="11"/>
  <c r="DM68" i="10"/>
  <c r="BO69" i="11" s="1"/>
  <c r="B69" i="12" s="1"/>
  <c r="V69" s="1"/>
  <c r="DP68" i="10"/>
  <c r="BR69" i="11"/>
  <c r="CQ76" i="10"/>
  <c r="CV76"/>
  <c r="CV86"/>
  <c r="CV104"/>
  <c r="CQ59"/>
  <c r="CS106"/>
  <c r="BB106"/>
  <c r="BW44"/>
  <c r="DN26"/>
  <c r="BP27" i="11" s="1"/>
  <c r="C27" i="12" s="1"/>
  <c r="W27" s="1"/>
  <c r="CB34" i="10"/>
  <c r="BF88" i="9"/>
  <c r="BC90"/>
  <c r="Y90"/>
  <c r="BF57"/>
  <c r="AH61" i="8"/>
  <c r="AH106" s="1"/>
  <c r="C60" i="2"/>
  <c r="AS104" i="7"/>
  <c r="Y104"/>
  <c r="AB13" i="16"/>
  <c r="J277" i="15"/>
  <c r="K277" s="1"/>
  <c r="J168"/>
  <c r="K168" s="1"/>
  <c r="X156"/>
  <c r="W90"/>
  <c r="J90"/>
  <c r="I9"/>
  <c r="X280" i="14"/>
  <c r="V280"/>
  <c r="S254"/>
  <c r="T254"/>
  <c r="U254"/>
  <c r="S240"/>
  <c r="S229"/>
  <c r="T229"/>
  <c r="U229"/>
  <c r="X222"/>
  <c r="O222"/>
  <c r="O291"/>
  <c r="AD291"/>
  <c r="AD293" s="1"/>
  <c r="Z291"/>
  <c r="Z293"/>
  <c r="R291"/>
  <c r="M291"/>
  <c r="S192"/>
  <c r="S188" s="1"/>
  <c r="S220" s="1"/>
  <c r="T192"/>
  <c r="Y188"/>
  <c r="Y220"/>
  <c r="T156"/>
  <c r="S144"/>
  <c r="T144"/>
  <c r="U144" s="1"/>
  <c r="X129"/>
  <c r="S121"/>
  <c r="X109"/>
  <c r="J104"/>
  <c r="S98"/>
  <c r="T98"/>
  <c r="U98" s="1"/>
  <c r="X96"/>
  <c r="S92"/>
  <c r="T92"/>
  <c r="U92" s="1"/>
  <c r="U90" s="1"/>
  <c r="Q186"/>
  <c r="Q293" s="1"/>
  <c r="S25"/>
  <c r="T25"/>
  <c r="U25"/>
  <c r="S17"/>
  <c r="T17" s="1"/>
  <c r="U17" s="1"/>
  <c r="I14"/>
  <c r="J14" s="1"/>
  <c r="S11"/>
  <c r="H186"/>
  <c r="H293"/>
  <c r="D186"/>
  <c r="D293" s="1"/>
  <c r="G96" i="13"/>
  <c r="X98" i="12"/>
  <c r="M87"/>
  <c r="M105" s="1"/>
  <c r="M106" s="1"/>
  <c r="C82"/>
  <c r="W82"/>
  <c r="S86"/>
  <c r="S87" s="1"/>
  <c r="S105" s="1"/>
  <c r="D69"/>
  <c r="X69" s="1"/>
  <c r="X48"/>
  <c r="P61"/>
  <c r="D24"/>
  <c r="X24" s="1"/>
  <c r="W101"/>
  <c r="BD104" i="11"/>
  <c r="AT104"/>
  <c r="AJ104"/>
  <c r="Z104"/>
  <c r="Z105"/>
  <c r="P104"/>
  <c r="F104"/>
  <c r="F105"/>
  <c r="AD86"/>
  <c r="AD87" s="1"/>
  <c r="BI77"/>
  <c r="AS77"/>
  <c r="AS87" s="1"/>
  <c r="AS105" s="1"/>
  <c r="E77"/>
  <c r="BD60"/>
  <c r="O60"/>
  <c r="J60"/>
  <c r="AW61"/>
  <c r="AW107" s="1"/>
  <c r="Q61"/>
  <c r="Q107"/>
  <c r="AH61"/>
  <c r="R61"/>
  <c r="BC45"/>
  <c r="BC46"/>
  <c r="BM42"/>
  <c r="AX45"/>
  <c r="BM37"/>
  <c r="BD46"/>
  <c r="AI46"/>
  <c r="BM31"/>
  <c r="DN101" i="10"/>
  <c r="DP101"/>
  <c r="BR102" i="11" s="1"/>
  <c r="BH95" i="10"/>
  <c r="DP95"/>
  <c r="AO103"/>
  <c r="U103"/>
  <c r="U104" s="1"/>
  <c r="DO91"/>
  <c r="BQ92" i="11"/>
  <c r="CM103" i="10"/>
  <c r="BS103"/>
  <c r="AT103"/>
  <c r="BS85"/>
  <c r="DM84"/>
  <c r="BH84"/>
  <c r="DP84"/>
  <c r="DP82"/>
  <c r="DK85"/>
  <c r="DK86"/>
  <c r="DK104"/>
  <c r="AY85"/>
  <c r="AO85"/>
  <c r="AO86"/>
  <c r="CN104"/>
  <c r="CN106" s="1"/>
  <c r="BE76"/>
  <c r="DP67"/>
  <c r="BR68" i="11" s="1"/>
  <c r="DP57" i="10"/>
  <c r="AO59"/>
  <c r="BQ106"/>
  <c r="CG45"/>
  <c r="CG60"/>
  <c r="CC60"/>
  <c r="AK106"/>
  <c r="V106"/>
  <c r="Q106"/>
  <c r="DO43"/>
  <c r="BQ44" i="11"/>
  <c r="AO34" i="10"/>
  <c r="AO45"/>
  <c r="AO60" s="1"/>
  <c r="DD34"/>
  <c r="CR34"/>
  <c r="BR34"/>
  <c r="BR45" s="1"/>
  <c r="DN20"/>
  <c r="O90" i="9"/>
  <c r="O91"/>
  <c r="Y64"/>
  <c r="C65"/>
  <c r="C112" s="1"/>
  <c r="AC112"/>
  <c r="BZ74" i="8"/>
  <c r="BX77"/>
  <c r="BK77"/>
  <c r="CG98" i="7"/>
  <c r="E58" i="2" s="1"/>
  <c r="T104" i="7"/>
  <c r="CB104"/>
  <c r="BH104"/>
  <c r="CF104"/>
  <c r="BW104"/>
  <c r="BC104"/>
  <c r="AI104"/>
  <c r="BR104"/>
  <c r="AX104"/>
  <c r="AD104"/>
  <c r="J104"/>
  <c r="CG58"/>
  <c r="CG57"/>
  <c r="BC60"/>
  <c r="AI60"/>
  <c r="O60"/>
  <c r="J161" i="14"/>
  <c r="K165"/>
  <c r="U150"/>
  <c r="U149"/>
  <c r="T149"/>
  <c r="W141"/>
  <c r="S142"/>
  <c r="I120"/>
  <c r="J121"/>
  <c r="V32"/>
  <c r="S38"/>
  <c r="T38"/>
  <c r="U38" s="1"/>
  <c r="T103" i="12"/>
  <c r="T92"/>
  <c r="U92"/>
  <c r="U104" s="1"/>
  <c r="L58" i="5"/>
  <c r="M58" s="1"/>
  <c r="U60" i="12"/>
  <c r="U61"/>
  <c r="W48"/>
  <c r="T48"/>
  <c r="T60" s="1"/>
  <c r="D76"/>
  <c r="X76" s="1"/>
  <c r="BO70" i="11"/>
  <c r="B70" i="12" s="1"/>
  <c r="V70" s="1"/>
  <c r="BJ77" i="11"/>
  <c r="I47" i="5"/>
  <c r="C53" i="12"/>
  <c r="W53" s="1"/>
  <c r="H33" i="5"/>
  <c r="B39" i="12"/>
  <c r="V39"/>
  <c r="J14" i="5"/>
  <c r="C24" i="12"/>
  <c r="W24" s="1"/>
  <c r="BQ19" i="11"/>
  <c r="BL35"/>
  <c r="BM9"/>
  <c r="I96" i="14"/>
  <c r="J97"/>
  <c r="C35" i="1"/>
  <c r="I58" i="5"/>
  <c r="BM79" i="11"/>
  <c r="H11" i="2"/>
  <c r="C52" i="12"/>
  <c r="W52" s="1"/>
  <c r="H35" i="5"/>
  <c r="B41" i="12"/>
  <c r="V41" s="1"/>
  <c r="H25" i="5"/>
  <c r="N25" s="1"/>
  <c r="B34" i="12"/>
  <c r="V34" s="1"/>
  <c r="BM14" i="11"/>
  <c r="BP14"/>
  <c r="C14" i="12" s="1"/>
  <c r="W14" s="1"/>
  <c r="CR85" i="10"/>
  <c r="CR86"/>
  <c r="CR104" s="1"/>
  <c r="BO78" i="11"/>
  <c r="DC76" i="10"/>
  <c r="DM65"/>
  <c r="DM48"/>
  <c r="BE59"/>
  <c r="H34" i="5"/>
  <c r="N34" s="1"/>
  <c r="V40" i="12"/>
  <c r="H14" i="5"/>
  <c r="V25" i="12"/>
  <c r="BF82" i="9"/>
  <c r="E90"/>
  <c r="BK35" i="8"/>
  <c r="BZ23"/>
  <c r="B62" i="2"/>
  <c r="N62" s="1"/>
  <c r="B101" i="12"/>
  <c r="V101"/>
  <c r="B61" i="2"/>
  <c r="N61" s="1"/>
  <c r="B100" i="12"/>
  <c r="V100"/>
  <c r="J32" i="14"/>
  <c r="K33"/>
  <c r="K32"/>
  <c r="V9"/>
  <c r="S10"/>
  <c r="K35" i="1"/>
  <c r="K69" i="2"/>
  <c r="M69" s="1"/>
  <c r="Q69"/>
  <c r="U93" i="12"/>
  <c r="T93"/>
  <c r="BR89" i="11"/>
  <c r="BS89" s="1"/>
  <c r="E89" i="12"/>
  <c r="C89"/>
  <c r="W89" s="1"/>
  <c r="Y89" s="1"/>
  <c r="H38" i="2"/>
  <c r="B80" i="12"/>
  <c r="V80" s="1"/>
  <c r="AT77" i="11"/>
  <c r="C19" i="12"/>
  <c r="BH99" i="10"/>
  <c r="DN99"/>
  <c r="DP99"/>
  <c r="BH97"/>
  <c r="DN97"/>
  <c r="DP97"/>
  <c r="DF94"/>
  <c r="DG94"/>
  <c r="J51" i="2"/>
  <c r="P51" s="1"/>
  <c r="DN88" i="10"/>
  <c r="BH88"/>
  <c r="BF103"/>
  <c r="BH79"/>
  <c r="DP79" s="1"/>
  <c r="J85"/>
  <c r="DP14"/>
  <c r="DQ14"/>
  <c r="BD49" i="9"/>
  <c r="C43" i="12"/>
  <c r="W43" s="1"/>
  <c r="CF60" i="7"/>
  <c r="CG50"/>
  <c r="F55" i="5"/>
  <c r="E55"/>
  <c r="S228" i="15"/>
  <c r="T228" s="1"/>
  <c r="U228" s="1"/>
  <c r="K271" i="14"/>
  <c r="V222"/>
  <c r="V291" s="1"/>
  <c r="V188"/>
  <c r="V220"/>
  <c r="W161"/>
  <c r="S149"/>
  <c r="W90"/>
  <c r="K65"/>
  <c r="S66"/>
  <c r="L186"/>
  <c r="L293"/>
  <c r="S60" i="12"/>
  <c r="O45"/>
  <c r="BR98" i="11"/>
  <c r="K58" i="2" s="1"/>
  <c r="E98" i="12"/>
  <c r="Y98" s="1"/>
  <c r="AB105" i="11"/>
  <c r="AB107"/>
  <c r="BM76"/>
  <c r="BR58"/>
  <c r="AX35"/>
  <c r="S151" i="15"/>
  <c r="T151" s="1"/>
  <c r="U151" s="1"/>
  <c r="AB119"/>
  <c r="V53"/>
  <c r="K11"/>
  <c r="W280" i="14"/>
  <c r="X188"/>
  <c r="X220" s="1"/>
  <c r="S157"/>
  <c r="T157"/>
  <c r="U157"/>
  <c r="K131"/>
  <c r="T104"/>
  <c r="U104"/>
  <c r="U102"/>
  <c r="V96"/>
  <c r="K92"/>
  <c r="I83"/>
  <c r="W83"/>
  <c r="C65"/>
  <c r="E186"/>
  <c r="I9"/>
  <c r="K104" i="12"/>
  <c r="K105"/>
  <c r="T89"/>
  <c r="O60"/>
  <c r="Q60"/>
  <c r="J60"/>
  <c r="Y104" i="11"/>
  <c r="BL86"/>
  <c r="AN77"/>
  <c r="AN87"/>
  <c r="BM50"/>
  <c r="AY45"/>
  <c r="AY46"/>
  <c r="BO31"/>
  <c r="BN14"/>
  <c r="DM93" i="10"/>
  <c r="BG85"/>
  <c r="BG86"/>
  <c r="BG104" s="1"/>
  <c r="DP83"/>
  <c r="CQ85"/>
  <c r="CQ86"/>
  <c r="DO80"/>
  <c r="BQ81" i="11"/>
  <c r="J39" i="2" s="1"/>
  <c r="P39" s="1"/>
  <c r="AI85" i="10"/>
  <c r="DN71"/>
  <c r="BP72" i="11"/>
  <c r="C72" i="12" s="1"/>
  <c r="W72" s="1"/>
  <c r="CB76" i="10"/>
  <c r="BD76"/>
  <c r="Y76"/>
  <c r="CH76"/>
  <c r="CH86"/>
  <c r="DO76"/>
  <c r="BH48"/>
  <c r="DP48"/>
  <c r="BR49" i="11"/>
  <c r="E49" i="12" s="1"/>
  <c r="Y49" s="1"/>
  <c r="BW59" i="10"/>
  <c r="T59"/>
  <c r="CK45"/>
  <c r="CK60" s="1"/>
  <c r="CK106" s="1"/>
  <c r="AW106"/>
  <c r="U60"/>
  <c r="DM37"/>
  <c r="DK44"/>
  <c r="DF24"/>
  <c r="AS90" i="9"/>
  <c r="BF56"/>
  <c r="AP112"/>
  <c r="M61" i="8"/>
  <c r="M106" s="1"/>
  <c r="BM104" i="7"/>
  <c r="W150" i="15"/>
  <c r="S106"/>
  <c r="X90"/>
  <c r="S91"/>
  <c r="T91" s="1"/>
  <c r="O53"/>
  <c r="S39"/>
  <c r="J271" i="14"/>
  <c r="S258"/>
  <c r="T258"/>
  <c r="U258" s="1"/>
  <c r="S250"/>
  <c r="T250"/>
  <c r="U250"/>
  <c r="S243"/>
  <c r="S226"/>
  <c r="T226"/>
  <c r="U226"/>
  <c r="N291"/>
  <c r="N293" s="1"/>
  <c r="I222"/>
  <c r="E291"/>
  <c r="I188"/>
  <c r="I220" s="1"/>
  <c r="J188"/>
  <c r="J220"/>
  <c r="S183"/>
  <c r="T183" s="1"/>
  <c r="U183" s="1"/>
  <c r="S168"/>
  <c r="T168"/>
  <c r="U168" s="1"/>
  <c r="I161"/>
  <c r="V155"/>
  <c r="S145"/>
  <c r="T145"/>
  <c r="U145"/>
  <c r="I129"/>
  <c r="V129"/>
  <c r="S124"/>
  <c r="T124"/>
  <c r="U124"/>
  <c r="S123"/>
  <c r="T123"/>
  <c r="U123"/>
  <c r="W113"/>
  <c r="X102"/>
  <c r="V90"/>
  <c r="X83"/>
  <c r="S75"/>
  <c r="T75"/>
  <c r="U75"/>
  <c r="S70"/>
  <c r="T70"/>
  <c r="U70"/>
  <c r="S68"/>
  <c r="T68" s="1"/>
  <c r="U68" s="1"/>
  <c r="AA65"/>
  <c r="AA186"/>
  <c r="AA293" s="1"/>
  <c r="W65"/>
  <c r="O65"/>
  <c r="J65"/>
  <c r="W32"/>
  <c r="AC186"/>
  <c r="AC293"/>
  <c r="M186"/>
  <c r="S23"/>
  <c r="T23"/>
  <c r="U23"/>
  <c r="S15"/>
  <c r="T15"/>
  <c r="U15"/>
  <c r="G98" i="13"/>
  <c r="U91" i="12"/>
  <c r="U105"/>
  <c r="I87"/>
  <c r="I105"/>
  <c r="I106" s="1"/>
  <c r="O86"/>
  <c r="B76"/>
  <c r="V76" s="1"/>
  <c r="T63"/>
  <c r="T77"/>
  <c r="D63"/>
  <c r="L61"/>
  <c r="L106"/>
  <c r="S45"/>
  <c r="S35"/>
  <c r="J35"/>
  <c r="BM99" i="11"/>
  <c r="BR99"/>
  <c r="E99" i="12" s="1"/>
  <c r="Y99" s="1"/>
  <c r="BQ90" i="11"/>
  <c r="BH104"/>
  <c r="AN104"/>
  <c r="T104"/>
  <c r="BK86"/>
  <c r="BO85"/>
  <c r="BM85"/>
  <c r="BJ86"/>
  <c r="BJ87"/>
  <c r="BC86"/>
  <c r="U87"/>
  <c r="U105"/>
  <c r="BM80"/>
  <c r="BP76"/>
  <c r="B71" i="12"/>
  <c r="V71"/>
  <c r="BM71" i="11"/>
  <c r="BP67"/>
  <c r="C67" i="12"/>
  <c r="W67" s="1"/>
  <c r="Y60" i="11"/>
  <c r="I61"/>
  <c r="I107"/>
  <c r="BQ39"/>
  <c r="O46"/>
  <c r="BP32"/>
  <c r="DN94" i="10"/>
  <c r="DE103"/>
  <c r="DG90"/>
  <c r="BC103"/>
  <c r="AI103"/>
  <c r="O103"/>
  <c r="CQ103"/>
  <c r="BW103"/>
  <c r="BW104"/>
  <c r="AN103"/>
  <c r="T103"/>
  <c r="AS103"/>
  <c r="Y103"/>
  <c r="E103"/>
  <c r="Z104"/>
  <c r="DI104"/>
  <c r="DI106"/>
  <c r="M104"/>
  <c r="M106" s="1"/>
  <c r="H104"/>
  <c r="DN75"/>
  <c r="DN72"/>
  <c r="BP73" i="11" s="1"/>
  <c r="C73" i="12" s="1"/>
  <c r="DP69" i="10"/>
  <c r="BY106"/>
  <c r="DN50"/>
  <c r="BP51" i="11"/>
  <c r="C51" i="12" s="1"/>
  <c r="W51" s="1"/>
  <c r="CD106" i="10"/>
  <c r="BH40"/>
  <c r="DP40" s="1"/>
  <c r="CJ106"/>
  <c r="DM30"/>
  <c r="DG10"/>
  <c r="AS109" i="9"/>
  <c r="BF48"/>
  <c r="BF47"/>
  <c r="BZ72" i="8"/>
  <c r="BP77"/>
  <c r="Y77"/>
  <c r="BZ66"/>
  <c r="BW77"/>
  <c r="BZ65"/>
  <c r="BY77"/>
  <c r="CB60" i="7"/>
  <c r="BH60"/>
  <c r="AN60"/>
  <c r="T60"/>
  <c r="CC60"/>
  <c r="CC61"/>
  <c r="BM60"/>
  <c r="AS60"/>
  <c r="Y60"/>
  <c r="E60"/>
  <c r="AP106"/>
  <c r="AO86" i="11"/>
  <c r="AJ60"/>
  <c r="AJ61"/>
  <c r="P43" i="5"/>
  <c r="BM48" i="11"/>
  <c r="BK60"/>
  <c r="BL45"/>
  <c r="BL46"/>
  <c r="H20" i="5"/>
  <c r="N20" s="1"/>
  <c r="B29" i="12"/>
  <c r="V29" s="1"/>
  <c r="BM15" i="11"/>
  <c r="BP15"/>
  <c r="C15" i="12" s="1"/>
  <c r="W15" s="1"/>
  <c r="DF90" i="10"/>
  <c r="DD103"/>
  <c r="BS59"/>
  <c r="AE59"/>
  <c r="DF19"/>
  <c r="CV34"/>
  <c r="BS34"/>
  <c r="BO9" i="11"/>
  <c r="B9" i="12" s="1"/>
  <c r="V9" s="1"/>
  <c r="BG81" i="9"/>
  <c r="P50"/>
  <c r="P65"/>
  <c r="BG49"/>
  <c r="BY35" i="8"/>
  <c r="BZ18"/>
  <c r="CG84" i="7"/>
  <c r="E86"/>
  <c r="CG71"/>
  <c r="E26" i="2"/>
  <c r="Q26" s="1"/>
  <c r="E77" i="7"/>
  <c r="CF45"/>
  <c r="D30" i="5"/>
  <c r="CG24" i="7"/>
  <c r="E16" i="5" s="1"/>
  <c r="E35" i="7"/>
  <c r="J77" i="6"/>
  <c r="G79"/>
  <c r="I69"/>
  <c r="H77"/>
  <c r="F79"/>
  <c r="J64"/>
  <c r="Y67" i="14"/>
  <c r="Y65" s="1"/>
  <c r="Y186" s="1"/>
  <c r="O77" i="12"/>
  <c r="K59" i="5"/>
  <c r="Q59" s="1"/>
  <c r="J45" i="12"/>
  <c r="J46" s="1"/>
  <c r="J61"/>
  <c r="O35"/>
  <c r="BM101" i="11"/>
  <c r="BR101" s="1"/>
  <c r="BM96"/>
  <c r="BR96"/>
  <c r="K56" i="2" s="1"/>
  <c r="BP94" i="11"/>
  <c r="BM94"/>
  <c r="BR94"/>
  <c r="BM93"/>
  <c r="D89" i="12"/>
  <c r="AX104" i="11"/>
  <c r="AD104"/>
  <c r="J104"/>
  <c r="X105"/>
  <c r="X107" s="1"/>
  <c r="Y107" s="1"/>
  <c r="BM84"/>
  <c r="BR84"/>
  <c r="K43" i="2" s="1"/>
  <c r="BM83" i="11"/>
  <c r="BR83" s="1"/>
  <c r="BI86"/>
  <c r="BI87"/>
  <c r="BI105"/>
  <c r="BQ78"/>
  <c r="AX86"/>
  <c r="AX87"/>
  <c r="BM75"/>
  <c r="BM74"/>
  <c r="BD77"/>
  <c r="BD87"/>
  <c r="BD105"/>
  <c r="S107"/>
  <c r="BM55"/>
  <c r="AY60"/>
  <c r="AY61" s="1"/>
  <c r="BH60"/>
  <c r="AN60"/>
  <c r="T60"/>
  <c r="T61" s="1"/>
  <c r="BA61"/>
  <c r="AC61"/>
  <c r="AC107" s="1"/>
  <c r="M61"/>
  <c r="BG46"/>
  <c r="BG61"/>
  <c r="BG107" s="1"/>
  <c r="BB61"/>
  <c r="BB107" s="1"/>
  <c r="BC107" s="1"/>
  <c r="AM46"/>
  <c r="AM61"/>
  <c r="AM107" s="1"/>
  <c r="AN107" s="1"/>
  <c r="AE46"/>
  <c r="AE61"/>
  <c r="Z61"/>
  <c r="B61"/>
  <c r="B107" s="1"/>
  <c r="BM39"/>
  <c r="BO38"/>
  <c r="B38" i="12" s="1"/>
  <c r="V38" s="1"/>
  <c r="AS45" i="11"/>
  <c r="BI45"/>
  <c r="AO45"/>
  <c r="Y45"/>
  <c r="BH45"/>
  <c r="AN45"/>
  <c r="BM32"/>
  <c r="BM30"/>
  <c r="BM28"/>
  <c r="BM26"/>
  <c r="BM24"/>
  <c r="AD35"/>
  <c r="AD46" s="1"/>
  <c r="AD61" s="1"/>
  <c r="BM23"/>
  <c r="BI35"/>
  <c r="AO35"/>
  <c r="AS35"/>
  <c r="Y35"/>
  <c r="BM19"/>
  <c r="DF96" i="10"/>
  <c r="DP96" s="1"/>
  <c r="BR97" i="11" s="1"/>
  <c r="DO95" i="10"/>
  <c r="BQ96" i="11" s="1"/>
  <c r="CH103" i="10"/>
  <c r="BN103"/>
  <c r="DN89"/>
  <c r="DC103"/>
  <c r="DN83"/>
  <c r="BP84" i="11" s="1"/>
  <c r="DN82" i="10"/>
  <c r="BH81"/>
  <c r="DP81" s="1"/>
  <c r="DF80"/>
  <c r="DP80" s="1"/>
  <c r="BR81" i="11" s="1"/>
  <c r="DO79" i="10"/>
  <c r="BQ80" i="11" s="1"/>
  <c r="CW85" i="10"/>
  <c r="CW86" s="1"/>
  <c r="CW104" s="1"/>
  <c r="BD85"/>
  <c r="BD86" s="1"/>
  <c r="BD104" s="1"/>
  <c r="AJ85"/>
  <c r="AJ86" s="1"/>
  <c r="AJ104" s="1"/>
  <c r="AS85"/>
  <c r="AS86"/>
  <c r="AS104" s="1"/>
  <c r="T85"/>
  <c r="T86" s="1"/>
  <c r="T104" s="1"/>
  <c r="CF104"/>
  <c r="CF106" s="1"/>
  <c r="BX104"/>
  <c r="AV104"/>
  <c r="AV106" s="1"/>
  <c r="AB104"/>
  <c r="AB106" s="1"/>
  <c r="X104"/>
  <c r="X106"/>
  <c r="P104"/>
  <c r="DP72"/>
  <c r="BR73" i="11" s="1"/>
  <c r="AT76" i="10"/>
  <c r="AT86" s="1"/>
  <c r="AT104" s="1"/>
  <c r="DF62"/>
  <c r="AX76"/>
  <c r="AX86" s="1"/>
  <c r="AX104" s="1"/>
  <c r="AD76"/>
  <c r="AD86"/>
  <c r="AD104" s="1"/>
  <c r="J76"/>
  <c r="DF55"/>
  <c r="DO50"/>
  <c r="BQ51" i="11" s="1"/>
  <c r="D51" i="12" s="1"/>
  <c r="X51" s="1"/>
  <c r="BH50" i="10"/>
  <c r="E59"/>
  <c r="AY59"/>
  <c r="CT106"/>
  <c r="BV106"/>
  <c r="R106"/>
  <c r="B106"/>
  <c r="CP106"/>
  <c r="DM42"/>
  <c r="BO43" i="11" s="1"/>
  <c r="BH42" i="10"/>
  <c r="DN39"/>
  <c r="BP40" i="11" s="1"/>
  <c r="I106" i="10"/>
  <c r="BH33"/>
  <c r="DO31"/>
  <c r="BQ32" i="11" s="1"/>
  <c r="AS34" i="10"/>
  <c r="AS45"/>
  <c r="AS60" s="1"/>
  <c r="T34"/>
  <c r="T45" s="1"/>
  <c r="T60" s="1"/>
  <c r="DE34"/>
  <c r="DE45"/>
  <c r="CH34"/>
  <c r="CH45" s="1"/>
  <c r="CH60" s="1"/>
  <c r="DO19"/>
  <c r="BQ20" i="11" s="1"/>
  <c r="CW34" i="10"/>
  <c r="CW45" s="1"/>
  <c r="CW60" s="1"/>
  <c r="CL34"/>
  <c r="CL45" s="1"/>
  <c r="CL60" s="1"/>
  <c r="BW34"/>
  <c r="BF100" i="9"/>
  <c r="AH110"/>
  <c r="Z110"/>
  <c r="BF89"/>
  <c r="AI90"/>
  <c r="BF72"/>
  <c r="E15" i="2"/>
  <c r="BD81" i="9"/>
  <c r="AI81"/>
  <c r="BF67"/>
  <c r="AX64"/>
  <c r="AD64"/>
  <c r="J64"/>
  <c r="AQ112"/>
  <c r="X65"/>
  <c r="X112" s="1"/>
  <c r="Y112" s="1"/>
  <c r="BC49"/>
  <c r="J39"/>
  <c r="J50"/>
  <c r="J65" s="1"/>
  <c r="BN105" i="8"/>
  <c r="BN106"/>
  <c r="P105"/>
  <c r="P106" s="1"/>
  <c r="BQ87"/>
  <c r="BQ105"/>
  <c r="AA106"/>
  <c r="AZ61"/>
  <c r="AZ106" s="1"/>
  <c r="AL106"/>
  <c r="J45"/>
  <c r="BP35"/>
  <c r="AV35"/>
  <c r="Y35"/>
  <c r="E35"/>
  <c r="C44" i="2"/>
  <c r="CG85" i="7"/>
  <c r="E44" i="2"/>
  <c r="CG83" i="7"/>
  <c r="E41" i="2" s="1"/>
  <c r="S106" i="7"/>
  <c r="BO106"/>
  <c r="BE106"/>
  <c r="BC46"/>
  <c r="BC61" s="1"/>
  <c r="CG31"/>
  <c r="CG28"/>
  <c r="E19" i="5" s="1"/>
  <c r="B35"/>
  <c r="B32" s="1"/>
  <c r="I35" i="1"/>
  <c r="I69" i="2"/>
  <c r="T18" i="12"/>
  <c r="T35" s="1"/>
  <c r="R35"/>
  <c r="R46" s="1"/>
  <c r="R61" s="1"/>
  <c r="R106" s="1"/>
  <c r="BM89" i="11"/>
  <c r="BN89" s="1"/>
  <c r="BK104"/>
  <c r="BL77"/>
  <c r="BQ64"/>
  <c r="BR63"/>
  <c r="C63" i="12"/>
  <c r="H30" i="5"/>
  <c r="E45" i="11"/>
  <c r="BM36"/>
  <c r="AT35"/>
  <c r="BI105" i="10"/>
  <c r="DN105"/>
  <c r="BH105"/>
  <c r="DQ90"/>
  <c r="BP91" i="11"/>
  <c r="DP90" i="10"/>
  <c r="BR91" i="11" s="1"/>
  <c r="BI90" i="10"/>
  <c r="BH90"/>
  <c r="BH103" s="1"/>
  <c r="DM78"/>
  <c r="BO79" i="11" s="1"/>
  <c r="BE85" i="10"/>
  <c r="DF77"/>
  <c r="BM85"/>
  <c r="AE76"/>
  <c r="H38" i="5"/>
  <c r="N38" s="1"/>
  <c r="B44" i="12"/>
  <c r="V44" s="1"/>
  <c r="BM44" i="10"/>
  <c r="BM45"/>
  <c r="BF44"/>
  <c r="AE44"/>
  <c r="I25" i="5"/>
  <c r="O25" s="1"/>
  <c r="C34" i="12"/>
  <c r="W34" s="1"/>
  <c r="H24" i="5"/>
  <c r="N24" s="1"/>
  <c r="B33" i="12"/>
  <c r="V33" s="1"/>
  <c r="H12" i="5"/>
  <c r="B21" i="12"/>
  <c r="V21" s="1"/>
  <c r="AJ34" i="10"/>
  <c r="AJ45" s="1"/>
  <c r="AJ60" s="1"/>
  <c r="DM18"/>
  <c r="BE34"/>
  <c r="BE45"/>
  <c r="BE60"/>
  <c r="BH18"/>
  <c r="J34"/>
  <c r="DG11"/>
  <c r="DN11"/>
  <c r="DF11"/>
  <c r="BF11" i="9"/>
  <c r="C11" i="12"/>
  <c r="W11"/>
  <c r="Y45" i="8"/>
  <c r="BZ37"/>
  <c r="O14" i="2"/>
  <c r="C10"/>
  <c r="CF35" i="7"/>
  <c r="CG18"/>
  <c r="G52" i="6"/>
  <c r="H49"/>
  <c r="H52"/>
  <c r="S272" i="14"/>
  <c r="S114"/>
  <c r="S110"/>
  <c r="K70" i="2"/>
  <c r="M70" s="1"/>
  <c r="J86" i="12"/>
  <c r="J87"/>
  <c r="E35" i="1"/>
  <c r="BJ104" i="11"/>
  <c r="BC104"/>
  <c r="AI104"/>
  <c r="O104"/>
  <c r="AK105"/>
  <c r="M105"/>
  <c r="AR105"/>
  <c r="AR107"/>
  <c r="AS107" s="1"/>
  <c r="BP83"/>
  <c r="BO82"/>
  <c r="BO73"/>
  <c r="B73" i="12" s="1"/>
  <c r="BM67" i="11"/>
  <c r="BO66"/>
  <c r="B66" i="12" s="1"/>
  <c r="V66" s="1"/>
  <c r="AY77" i="11"/>
  <c r="AY87" s="1"/>
  <c r="AY105" s="1"/>
  <c r="BC77"/>
  <c r="AI77"/>
  <c r="AI87" s="1"/>
  <c r="AI105" s="1"/>
  <c r="O77"/>
  <c r="O87" s="1"/>
  <c r="O105" s="1"/>
  <c r="BM57"/>
  <c r="BM53"/>
  <c r="BQ52"/>
  <c r="J46" i="5" s="1"/>
  <c r="BL60" i="11"/>
  <c r="BL61" s="1"/>
  <c r="AU46"/>
  <c r="AU61" s="1"/>
  <c r="AU107" s="1"/>
  <c r="AP61"/>
  <c r="AP107" s="1"/>
  <c r="AT107" s="1"/>
  <c r="AA46"/>
  <c r="AA61"/>
  <c r="AA107"/>
  <c r="V61"/>
  <c r="V107" s="1"/>
  <c r="Z107" s="1"/>
  <c r="BM41"/>
  <c r="BM29"/>
  <c r="BP23"/>
  <c r="BJ35"/>
  <c r="BM20"/>
  <c r="J35"/>
  <c r="J46"/>
  <c r="DN96" i="10"/>
  <c r="BP97" i="11" s="1"/>
  <c r="AY103" i="10"/>
  <c r="AE103"/>
  <c r="K103"/>
  <c r="K104" s="1"/>
  <c r="CM104"/>
  <c r="DO82"/>
  <c r="BQ83" i="11"/>
  <c r="D83" i="12" s="1"/>
  <c r="X83" s="1"/>
  <c r="DN80" i="10"/>
  <c r="BP81" i="11"/>
  <c r="DE85" i="10"/>
  <c r="Y85"/>
  <c r="E85"/>
  <c r="E86"/>
  <c r="E104"/>
  <c r="BH78"/>
  <c r="BH85" s="1"/>
  <c r="BH86" s="1"/>
  <c r="BH104" s="1"/>
  <c r="CB85"/>
  <c r="CB86"/>
  <c r="CB104" s="1"/>
  <c r="DL104"/>
  <c r="BT104"/>
  <c r="BT106"/>
  <c r="AR104"/>
  <c r="AR106" s="1"/>
  <c r="L104"/>
  <c r="L106"/>
  <c r="DF75"/>
  <c r="DP75" s="1"/>
  <c r="BR76" i="11" s="1"/>
  <c r="K32" i="2" s="1"/>
  <c r="DF74" i="10"/>
  <c r="DF71"/>
  <c r="DM67"/>
  <c r="BO68" i="11" s="1"/>
  <c r="AY76" i="10"/>
  <c r="DF64"/>
  <c r="DP64"/>
  <c r="BR65" i="11" s="1"/>
  <c r="DF63" i="10"/>
  <c r="DP63"/>
  <c r="CL76"/>
  <c r="CL86" s="1"/>
  <c r="CL104" s="1"/>
  <c r="BR76"/>
  <c r="BR86"/>
  <c r="BR104" s="1"/>
  <c r="BC76"/>
  <c r="AI76"/>
  <c r="O76"/>
  <c r="O86" s="1"/>
  <c r="BU106"/>
  <c r="DF56"/>
  <c r="DP56" s="1"/>
  <c r="DP55"/>
  <c r="BR56" i="11" s="1"/>
  <c r="CL59" i="10"/>
  <c r="BR59"/>
  <c r="DJ106"/>
  <c r="N106"/>
  <c r="AY44"/>
  <c r="O44"/>
  <c r="AG106"/>
  <c r="DF32"/>
  <c r="DP32"/>
  <c r="BR33" i="11"/>
  <c r="BH27" i="10"/>
  <c r="DO25"/>
  <c r="BQ26" i="11"/>
  <c r="D26" i="12" s="1"/>
  <c r="X26" s="1"/>
  <c r="DF20" i="10"/>
  <c r="DP19"/>
  <c r="BD34"/>
  <c r="BD45" s="1"/>
  <c r="BD60" s="1"/>
  <c r="AT34"/>
  <c r="AT45" s="1"/>
  <c r="AT60" s="1"/>
  <c r="DC34"/>
  <c r="CQ34"/>
  <c r="AT109" i="9"/>
  <c r="BF95"/>
  <c r="BF94"/>
  <c r="BE109"/>
  <c r="AN109"/>
  <c r="T109"/>
  <c r="Y109"/>
  <c r="AX90"/>
  <c r="BF71"/>
  <c r="AY81"/>
  <c r="AY91" s="1"/>
  <c r="T81"/>
  <c r="H112"/>
  <c r="AR112"/>
  <c r="AH112"/>
  <c r="K112"/>
  <c r="BD39"/>
  <c r="AT39"/>
  <c r="BF9"/>
  <c r="BR105" i="8"/>
  <c r="BR106"/>
  <c r="BM106"/>
  <c r="BD61"/>
  <c r="W106"/>
  <c r="BP46"/>
  <c r="R61"/>
  <c r="R106" s="1"/>
  <c r="BK45"/>
  <c r="BK46"/>
  <c r="BK61"/>
  <c r="BP105" i="7"/>
  <c r="CG67"/>
  <c r="E14" i="2"/>
  <c r="Q14" s="1"/>
  <c r="CE77" i="7"/>
  <c r="BF106"/>
  <c r="AT106"/>
  <c r="AA106"/>
  <c r="BY106"/>
  <c r="CB35"/>
  <c r="BH35"/>
  <c r="BW35"/>
  <c r="BW46"/>
  <c r="BW61" s="1"/>
  <c r="BW106" s="1"/>
  <c r="BC35"/>
  <c r="AI35"/>
  <c r="O35"/>
  <c r="O46"/>
  <c r="O61"/>
  <c r="H15" i="5"/>
  <c r="N15" s="1"/>
  <c r="H69" i="2"/>
  <c r="H71" s="1"/>
  <c r="N71" s="1"/>
  <c r="H35" i="1"/>
  <c r="J58" i="5"/>
  <c r="D35" i="1"/>
  <c r="DO20" i="10"/>
  <c r="BQ21" i="11" s="1"/>
  <c r="BG34" i="10"/>
  <c r="DP17"/>
  <c r="F65" i="9"/>
  <c r="AI39"/>
  <c r="BF29"/>
  <c r="E14" i="5" s="1"/>
  <c r="O60" i="8"/>
  <c r="BZ56"/>
  <c r="BZ47"/>
  <c r="BX60"/>
  <c r="E45"/>
  <c r="E46"/>
  <c r="E61"/>
  <c r="BZ41"/>
  <c r="BZ40"/>
  <c r="O45"/>
  <c r="J86" i="7"/>
  <c r="J87" s="1"/>
  <c r="J105" s="1"/>
  <c r="CG82"/>
  <c r="E40" i="2"/>
  <c r="B30"/>
  <c r="J70"/>
  <c r="P70" s="1"/>
  <c r="I59" i="5"/>
  <c r="O59" s="1"/>
  <c r="E86" i="11"/>
  <c r="E35"/>
  <c r="DN92" i="10"/>
  <c r="DF73"/>
  <c r="DF70"/>
  <c r="DN65"/>
  <c r="BP66" i="11"/>
  <c r="C66" i="12" s="1"/>
  <c r="W66" s="1"/>
  <c r="DN55" i="10"/>
  <c r="BP56" i="11"/>
  <c r="DN54" i="10"/>
  <c r="BP55" i="11" s="1"/>
  <c r="DM52" i="10"/>
  <c r="BO53" i="11"/>
  <c r="BH52" i="10"/>
  <c r="DP52"/>
  <c r="DF51"/>
  <c r="DK59"/>
  <c r="CH59"/>
  <c r="DF47"/>
  <c r="AX59"/>
  <c r="AD59"/>
  <c r="AD60" s="1"/>
  <c r="J59"/>
  <c r="BG59"/>
  <c r="DM41"/>
  <c r="BO42" i="11" s="1"/>
  <c r="BH41" i="10"/>
  <c r="DO40"/>
  <c r="BQ41" i="11"/>
  <c r="D41" i="12" s="1"/>
  <c r="DO39" i="10"/>
  <c r="BQ40" i="11"/>
  <c r="DM36" i="10"/>
  <c r="DC44"/>
  <c r="DC45" s="1"/>
  <c r="DC60" s="1"/>
  <c r="CQ44"/>
  <c r="CQ45"/>
  <c r="CB44"/>
  <c r="CB45"/>
  <c r="CB60"/>
  <c r="DO32"/>
  <c r="BQ33" i="11" s="1"/>
  <c r="DM29" i="10"/>
  <c r="BO30" i="11"/>
  <c r="BH29" i="10"/>
  <c r="DF28"/>
  <c r="DO26"/>
  <c r="BQ27" i="11" s="1"/>
  <c r="D27" i="12" s="1"/>
  <c r="X27" s="1"/>
  <c r="BH24" i="10"/>
  <c r="DP24"/>
  <c r="BR25" i="11"/>
  <c r="DM23" i="10"/>
  <c r="BO24" i="11"/>
  <c r="BH23" i="10"/>
  <c r="DF22"/>
  <c r="BC34"/>
  <c r="BC45"/>
  <c r="BC60"/>
  <c r="AI34"/>
  <c r="AI45"/>
  <c r="BF34"/>
  <c r="AY34"/>
  <c r="AE34"/>
  <c r="O34"/>
  <c r="BH9"/>
  <c r="BF107" i="9"/>
  <c r="BF99"/>
  <c r="BF98"/>
  <c r="V110"/>
  <c r="BF86"/>
  <c r="BF85"/>
  <c r="C16" i="2"/>
  <c r="BF73" i="9"/>
  <c r="BC81"/>
  <c r="AS81"/>
  <c r="Y81"/>
  <c r="E81"/>
  <c r="BF63"/>
  <c r="AI64"/>
  <c r="BF51"/>
  <c r="L65"/>
  <c r="L112"/>
  <c r="O49"/>
  <c r="BE49"/>
  <c r="AI49"/>
  <c r="AI50"/>
  <c r="AK65"/>
  <c r="BF36"/>
  <c r="O39"/>
  <c r="AY39"/>
  <c r="BF8"/>
  <c r="S105" i="8"/>
  <c r="S106" s="1"/>
  <c r="BV105"/>
  <c r="BV106"/>
  <c r="BZ84"/>
  <c r="BZ83"/>
  <c r="BA86"/>
  <c r="CA86"/>
  <c r="BE106"/>
  <c r="G106"/>
  <c r="BA45"/>
  <c r="AD45"/>
  <c r="AD46"/>
  <c r="AD61"/>
  <c r="BZ33"/>
  <c r="BZ30"/>
  <c r="T35"/>
  <c r="BR86" i="7"/>
  <c r="BR87"/>
  <c r="BR105" s="1"/>
  <c r="AX86"/>
  <c r="AD86"/>
  <c r="AD87"/>
  <c r="AD105"/>
  <c r="CG76"/>
  <c r="BW77"/>
  <c r="BC77"/>
  <c r="BC87" s="1"/>
  <c r="BC105" s="1"/>
  <c r="AI77"/>
  <c r="O77"/>
  <c r="CD60"/>
  <c r="BR60"/>
  <c r="AX60"/>
  <c r="AD60"/>
  <c r="J60"/>
  <c r="BX61"/>
  <c r="AV61"/>
  <c r="AV106"/>
  <c r="AO106"/>
  <c r="X106"/>
  <c r="CR44" i="10"/>
  <c r="CR45"/>
  <c r="CR60" s="1"/>
  <c r="W34"/>
  <c r="W45"/>
  <c r="W60"/>
  <c r="W106" s="1"/>
  <c r="Y30"/>
  <c r="Y34" s="1"/>
  <c r="Y45" s="1"/>
  <c r="Y60" s="1"/>
  <c r="BH30"/>
  <c r="DP30"/>
  <c r="DQ13"/>
  <c r="DP13"/>
  <c r="BR14" i="11" s="1"/>
  <c r="E14" i="12" s="1"/>
  <c r="BI13" i="10"/>
  <c r="BH13"/>
  <c r="DQ10"/>
  <c r="DP10"/>
  <c r="BI10"/>
  <c r="BH10"/>
  <c r="F91" i="9"/>
  <c r="BF68"/>
  <c r="AD81"/>
  <c r="L17" i="2"/>
  <c r="R20"/>
  <c r="S20" s="1"/>
  <c r="M20"/>
  <c r="K138" i="3"/>
  <c r="G164"/>
  <c r="DN73" i="10"/>
  <c r="BP74" i="11"/>
  <c r="C74" i="12" s="1"/>
  <c r="W74" s="1"/>
  <c r="DN70" i="10"/>
  <c r="BP71" i="11"/>
  <c r="C71" i="12" s="1"/>
  <c r="W71" s="1"/>
  <c r="DM66" i="10"/>
  <c r="BO67" i="11"/>
  <c r="B67" i="12" s="1"/>
  <c r="V67" s="1"/>
  <c r="BH66" i="10"/>
  <c r="DP66"/>
  <c r="DO57"/>
  <c r="BQ58" i="11"/>
  <c r="DO54" i="10"/>
  <c r="BQ55" i="11"/>
  <c r="BH51" i="10"/>
  <c r="DP51"/>
  <c r="DF50"/>
  <c r="DF59" s="1"/>
  <c r="DO49"/>
  <c r="DO59" s="1"/>
  <c r="AT59"/>
  <c r="BC59"/>
  <c r="AI59"/>
  <c r="AI60" s="1"/>
  <c r="O59"/>
  <c r="BS44"/>
  <c r="BS45"/>
  <c r="BS60"/>
  <c r="BH36"/>
  <c r="DD44"/>
  <c r="DD45"/>
  <c r="BH35"/>
  <c r="DF33"/>
  <c r="BH28"/>
  <c r="DF27"/>
  <c r="BH22"/>
  <c r="DP22"/>
  <c r="DK34"/>
  <c r="DO9"/>
  <c r="BQ9" i="11" s="1"/>
  <c r="D9" i="12" s="1"/>
  <c r="X9" s="1"/>
  <c r="AY109" i="9"/>
  <c r="BD109"/>
  <c r="AI109"/>
  <c r="O109"/>
  <c r="R110"/>
  <c r="AN90"/>
  <c r="T90"/>
  <c r="T91"/>
  <c r="T110"/>
  <c r="D16" i="2"/>
  <c r="AT81" i="9"/>
  <c r="J81"/>
  <c r="N112"/>
  <c r="G65"/>
  <c r="G112" s="1"/>
  <c r="AN49"/>
  <c r="AN50"/>
  <c r="AN65" s="1"/>
  <c r="E49"/>
  <c r="AG65"/>
  <c r="AG112"/>
  <c r="Y39"/>
  <c r="BF27"/>
  <c r="AD39"/>
  <c r="BK104" i="8"/>
  <c r="AN104"/>
  <c r="CA104"/>
  <c r="BI105"/>
  <c r="BI106" s="1"/>
  <c r="K105"/>
  <c r="K106" s="1"/>
  <c r="BZ81"/>
  <c r="BQ106"/>
  <c r="AW106"/>
  <c r="BZ38"/>
  <c r="AO61"/>
  <c r="Q61"/>
  <c r="Q106"/>
  <c r="BZ28"/>
  <c r="BZ27"/>
  <c r="E63" i="2"/>
  <c r="Q63" s="1"/>
  <c r="F62"/>
  <c r="R62" s="1"/>
  <c r="CG81" i="7"/>
  <c r="CG75"/>
  <c r="CH71"/>
  <c r="CA61"/>
  <c r="CA106"/>
  <c r="BS61"/>
  <c r="J45"/>
  <c r="D31" i="5"/>
  <c r="J160" i="3"/>
  <c r="I138"/>
  <c r="B56" i="2"/>
  <c r="CD104" i="7"/>
  <c r="D10" i="2"/>
  <c r="P14"/>
  <c r="F42" i="5"/>
  <c r="F54" s="1"/>
  <c r="E42"/>
  <c r="C54"/>
  <c r="BF61" i="9"/>
  <c r="BF52"/>
  <c r="U65"/>
  <c r="AS49"/>
  <c r="Y49"/>
  <c r="Y50"/>
  <c r="Y65" s="1"/>
  <c r="BF41"/>
  <c r="BF37"/>
  <c r="BF33"/>
  <c r="E21" i="5" s="1"/>
  <c r="BF23" i="9"/>
  <c r="E10" i="5"/>
  <c r="Y104" i="8"/>
  <c r="E104"/>
  <c r="BZ93"/>
  <c r="BZ89"/>
  <c r="BW104"/>
  <c r="AD86"/>
  <c r="AD87"/>
  <c r="J86"/>
  <c r="J87" s="1"/>
  <c r="J105" s="1"/>
  <c r="BX86"/>
  <c r="BX87"/>
  <c r="BX105"/>
  <c r="BK86"/>
  <c r="BK87"/>
  <c r="BZ76"/>
  <c r="BF77"/>
  <c r="BF87" s="1"/>
  <c r="AI77"/>
  <c r="AI87" s="1"/>
  <c r="AI105" s="1"/>
  <c r="O77"/>
  <c r="O87"/>
  <c r="O105" s="1"/>
  <c r="BU77"/>
  <c r="BU87"/>
  <c r="BA77"/>
  <c r="AN77"/>
  <c r="AN87"/>
  <c r="AN105"/>
  <c r="T77"/>
  <c r="T87"/>
  <c r="T105"/>
  <c r="T45"/>
  <c r="T46"/>
  <c r="T61"/>
  <c r="CA45"/>
  <c r="BW45"/>
  <c r="BW46"/>
  <c r="AN45"/>
  <c r="AN46"/>
  <c r="AN61"/>
  <c r="I61"/>
  <c r="I106"/>
  <c r="BU35"/>
  <c r="BA35"/>
  <c r="AI35"/>
  <c r="AI46" s="1"/>
  <c r="O35"/>
  <c r="C62" i="2"/>
  <c r="O62"/>
  <c r="CG101" i="7"/>
  <c r="E62" i="2"/>
  <c r="Q62" s="1"/>
  <c r="C61"/>
  <c r="O61" s="1"/>
  <c r="D60"/>
  <c r="P60" s="1"/>
  <c r="F57"/>
  <c r="B57"/>
  <c r="CG95" i="7"/>
  <c r="CG91"/>
  <c r="BL105"/>
  <c r="BL106"/>
  <c r="AZ105"/>
  <c r="AZ106" s="1"/>
  <c r="H105"/>
  <c r="BV87"/>
  <c r="BV105"/>
  <c r="BV106"/>
  <c r="AH87"/>
  <c r="AH105" s="1"/>
  <c r="AH106" s="1"/>
  <c r="N87"/>
  <c r="N105"/>
  <c r="N106" s="1"/>
  <c r="F44" i="2"/>
  <c r="F38"/>
  <c r="B38"/>
  <c r="BW86" i="7"/>
  <c r="BC86"/>
  <c r="AI86"/>
  <c r="CB86"/>
  <c r="CB87"/>
  <c r="BH86"/>
  <c r="AN86"/>
  <c r="O86"/>
  <c r="O87"/>
  <c r="Z77"/>
  <c r="CF77"/>
  <c r="CB77"/>
  <c r="BH77"/>
  <c r="AN77"/>
  <c r="T77"/>
  <c r="CG47"/>
  <c r="BT61"/>
  <c r="AR61"/>
  <c r="AR106"/>
  <c r="H61"/>
  <c r="CB45"/>
  <c r="CB46"/>
  <c r="CB61" s="1"/>
  <c r="CB106" s="1"/>
  <c r="BH45"/>
  <c r="AN45"/>
  <c r="T45"/>
  <c r="B31" i="5"/>
  <c r="AD35" i="7"/>
  <c r="AD46"/>
  <c r="AD61" s="1"/>
  <c r="AD106" s="1"/>
  <c r="H499" i="6"/>
  <c r="R70" i="2"/>
  <c r="G58" i="3"/>
  <c r="BG60" i="9"/>
  <c r="BG64" s="1"/>
  <c r="AT64"/>
  <c r="F32" i="5"/>
  <c r="E20"/>
  <c r="BX104" i="8"/>
  <c r="BZ88"/>
  <c r="BZ80"/>
  <c r="E86"/>
  <c r="BZ17"/>
  <c r="BX35"/>
  <c r="N26" i="2"/>
  <c r="CG39" i="7"/>
  <c r="E45"/>
  <c r="E46"/>
  <c r="E61" s="1"/>
  <c r="F503" i="6"/>
  <c r="H97"/>
  <c r="I91"/>
  <c r="I97"/>
  <c r="K48" i="4"/>
  <c r="H29"/>
  <c r="H45"/>
  <c r="AB17"/>
  <c r="AB29"/>
  <c r="AB50" i="9"/>
  <c r="AB65"/>
  <c r="AB112"/>
  <c r="C22" i="5"/>
  <c r="C18" s="1"/>
  <c r="D19"/>
  <c r="D18" s="1"/>
  <c r="BG9" i="9"/>
  <c r="BZ103" i="8"/>
  <c r="BP104"/>
  <c r="AV104"/>
  <c r="BZ98"/>
  <c r="BZ97"/>
  <c r="J104"/>
  <c r="BZ92"/>
  <c r="BP86"/>
  <c r="BP87"/>
  <c r="BP105"/>
  <c r="AV86"/>
  <c r="Y86"/>
  <c r="BW86"/>
  <c r="BW87" s="1"/>
  <c r="BW105" s="1"/>
  <c r="BW106" s="1"/>
  <c r="BZ69"/>
  <c r="BZ68"/>
  <c r="BZ58"/>
  <c r="BZ57"/>
  <c r="BW60"/>
  <c r="AC61"/>
  <c r="AC106" s="1"/>
  <c r="BZ32"/>
  <c r="BZ31"/>
  <c r="E60" i="2"/>
  <c r="CG94" i="7"/>
  <c r="CG90"/>
  <c r="BT105"/>
  <c r="AJ105"/>
  <c r="AJ106" s="1"/>
  <c r="AB105"/>
  <c r="AB106"/>
  <c r="D105"/>
  <c r="BN87"/>
  <c r="BN105" s="1"/>
  <c r="BN106" s="1"/>
  <c r="BJ87"/>
  <c r="BJ105"/>
  <c r="BJ106" s="1"/>
  <c r="F87"/>
  <c r="F105"/>
  <c r="F106" s="1"/>
  <c r="B87"/>
  <c r="B105"/>
  <c r="B44" i="2"/>
  <c r="CE86" i="7"/>
  <c r="CE87"/>
  <c r="CE105" s="1"/>
  <c r="CE106" s="1"/>
  <c r="B36" i="2"/>
  <c r="BS87" i="7"/>
  <c r="BS105" s="1"/>
  <c r="BS106" s="1"/>
  <c r="AY87"/>
  <c r="AY105"/>
  <c r="AY106"/>
  <c r="F32" i="2"/>
  <c r="F30"/>
  <c r="E28"/>
  <c r="CG69" i="7"/>
  <c r="E24" i="2"/>
  <c r="Q24"/>
  <c r="BK106" i="7"/>
  <c r="G106"/>
  <c r="CH60"/>
  <c r="BP106"/>
  <c r="BD61"/>
  <c r="BD106"/>
  <c r="D61"/>
  <c r="D106" s="1"/>
  <c r="AU46"/>
  <c r="AU61"/>
  <c r="AU106"/>
  <c r="BM45"/>
  <c r="AS45"/>
  <c r="Y45"/>
  <c r="CG38"/>
  <c r="F20" i="5"/>
  <c r="F18" s="1"/>
  <c r="H376" i="6"/>
  <c r="Y45" i="4"/>
  <c r="Y48" s="1"/>
  <c r="Z29"/>
  <c r="AA29"/>
  <c r="V29"/>
  <c r="X48"/>
  <c r="P26" i="2"/>
  <c r="E48" i="5"/>
  <c r="E54" s="1"/>
  <c r="J141" i="6"/>
  <c r="G146"/>
  <c r="J108"/>
  <c r="F146"/>
  <c r="K282" i="3"/>
  <c r="G284"/>
  <c r="G294"/>
  <c r="C33" i="5"/>
  <c r="O33" s="1"/>
  <c r="C63" i="2"/>
  <c r="O63" s="1"/>
  <c r="D62"/>
  <c r="C57"/>
  <c r="C56"/>
  <c r="D44"/>
  <c r="B40"/>
  <c r="C38"/>
  <c r="C36"/>
  <c r="D32"/>
  <c r="F28"/>
  <c r="B28"/>
  <c r="D28"/>
  <c r="E30" i="5"/>
  <c r="CG34" i="7"/>
  <c r="P16" i="5"/>
  <c r="E12"/>
  <c r="CD35" i="7"/>
  <c r="CD46"/>
  <c r="C188" i="6"/>
  <c r="G54"/>
  <c r="I282" i="3"/>
  <c r="I284"/>
  <c r="I294"/>
  <c r="R14" i="2"/>
  <c r="R13"/>
  <c r="N13"/>
  <c r="P35" i="7"/>
  <c r="P46"/>
  <c r="P61" s="1"/>
  <c r="P106" s="1"/>
  <c r="CH23"/>
  <c r="CH35" s="1"/>
  <c r="CH46" s="1"/>
  <c r="CH61" s="1"/>
  <c r="F15" i="5"/>
  <c r="G15" s="1"/>
  <c r="F71" i="2"/>
  <c r="F69"/>
  <c r="R69"/>
  <c r="G321" i="3"/>
  <c r="K311"/>
  <c r="D63" i="2"/>
  <c r="P63" s="1"/>
  <c r="E61"/>
  <c r="Q61"/>
  <c r="F60"/>
  <c r="B60"/>
  <c r="B59" s="1"/>
  <c r="N59" s="1"/>
  <c r="D56"/>
  <c r="D55" s="1"/>
  <c r="C40"/>
  <c r="D38"/>
  <c r="C28"/>
  <c r="F24"/>
  <c r="B24"/>
  <c r="N24"/>
  <c r="C31" i="5"/>
  <c r="CG30" i="7"/>
  <c r="CG27"/>
  <c r="C17" i="5"/>
  <c r="O17" s="1"/>
  <c r="C9" i="1" s="1"/>
  <c r="BR35" i="7"/>
  <c r="AX35"/>
  <c r="AX46"/>
  <c r="AX61"/>
  <c r="J35"/>
  <c r="J46" s="1"/>
  <c r="J61" s="1"/>
  <c r="J106" s="1"/>
  <c r="D14" i="5"/>
  <c r="AN35" i="7"/>
  <c r="C11" i="5"/>
  <c r="C9" s="1"/>
  <c r="T35" i="7"/>
  <c r="D10" i="5"/>
  <c r="H141" i="6"/>
  <c r="F54"/>
  <c r="H26"/>
  <c r="H54"/>
  <c r="I321" i="3"/>
  <c r="E81" i="6"/>
  <c r="H55" i="3"/>
  <c r="J36"/>
  <c r="J45"/>
  <c r="I45"/>
  <c r="J25"/>
  <c r="J28" s="1"/>
  <c r="J30" s="1"/>
  <c r="J58" s="1"/>
  <c r="I28"/>
  <c r="I30"/>
  <c r="I20"/>
  <c r="F17" i="5"/>
  <c r="B17"/>
  <c r="C14"/>
  <c r="C13" s="1"/>
  <c r="C12"/>
  <c r="C434" i="6"/>
  <c r="C426"/>
  <c r="C305"/>
  <c r="I141"/>
  <c r="H44"/>
  <c r="L48" i="4"/>
  <c r="M48"/>
  <c r="I48"/>
  <c r="F321" i="3"/>
  <c r="H323"/>
  <c r="AB33" i="4"/>
  <c r="AB35"/>
  <c r="H35"/>
  <c r="H46"/>
  <c r="AB46" s="1"/>
  <c r="F11" i="5"/>
  <c r="B11"/>
  <c r="C10"/>
  <c r="O10" s="1"/>
  <c r="H542" i="6"/>
  <c r="J522"/>
  <c r="C494"/>
  <c r="J376"/>
  <c r="E166"/>
  <c r="E509"/>
  <c r="H108"/>
  <c r="I77"/>
  <c r="I79"/>
  <c r="Q70" i="2"/>
  <c r="D48" i="4"/>
  <c r="P17" i="2"/>
  <c r="AB68" i="4"/>
  <c r="E48"/>
  <c r="G29"/>
  <c r="G45"/>
  <c r="K357" i="3"/>
  <c r="F294"/>
  <c r="G214"/>
  <c r="I160"/>
  <c r="J53"/>
  <c r="K45"/>
  <c r="K28"/>
  <c r="K199"/>
  <c r="H214"/>
  <c r="H216" s="1"/>
  <c r="Y68" i="4"/>
  <c r="X68"/>
  <c r="AA33"/>
  <c r="AA35"/>
  <c r="BJ111" i="9"/>
  <c r="R48" i="4"/>
  <c r="J13" i="3"/>
  <c r="J20"/>
  <c r="M59" i="5"/>
  <c r="G14" i="2"/>
  <c r="AJ105" i="11"/>
  <c r="D92" i="12"/>
  <c r="X92" s="1"/>
  <c r="W59"/>
  <c r="F89"/>
  <c r="Z89" s="1"/>
  <c r="BN45" i="11"/>
  <c r="BN77"/>
  <c r="E87"/>
  <c r="E105"/>
  <c r="BR64"/>
  <c r="K11" i="2" s="1"/>
  <c r="Q11" s="1"/>
  <c r="J61" i="11"/>
  <c r="BH46"/>
  <c r="BH61"/>
  <c r="BA107"/>
  <c r="H57" i="2"/>
  <c r="N57" s="1"/>
  <c r="B83" i="12"/>
  <c r="V83" s="1"/>
  <c r="AI61" i="11"/>
  <c r="BR66"/>
  <c r="J15" i="5"/>
  <c r="J13" s="1"/>
  <c r="D23" i="12"/>
  <c r="X23" s="1"/>
  <c r="BN60" i="11"/>
  <c r="BN35"/>
  <c r="BN86"/>
  <c r="BJ105"/>
  <c r="BK87"/>
  <c r="BN104"/>
  <c r="BR52"/>
  <c r="K46" i="5" s="1"/>
  <c r="E52" i="12"/>
  <c r="Y52" s="1"/>
  <c r="AN46" i="11"/>
  <c r="BR70"/>
  <c r="E70" i="12" s="1"/>
  <c r="Y70" s="1"/>
  <c r="AH107" i="11"/>
  <c r="AI107"/>
  <c r="BH105"/>
  <c r="AF107"/>
  <c r="AJ107"/>
  <c r="AO46"/>
  <c r="BM35"/>
  <c r="J35" i="5"/>
  <c r="P35"/>
  <c r="X41" i="12"/>
  <c r="L28" i="2"/>
  <c r="R28" s="1"/>
  <c r="K16"/>
  <c r="E69" i="12"/>
  <c r="Y69" s="1"/>
  <c r="J57" i="2"/>
  <c r="P57" s="1"/>
  <c r="D97" i="12"/>
  <c r="X97" s="1"/>
  <c r="J34" i="5"/>
  <c r="P34" s="1"/>
  <c r="D40" i="12"/>
  <c r="X40" s="1"/>
  <c r="J17" i="5"/>
  <c r="P17"/>
  <c r="D9" i="1" s="1"/>
  <c r="K24" i="5"/>
  <c r="Q24" s="1"/>
  <c r="AE107" i="11"/>
  <c r="AD107"/>
  <c r="K15" i="2"/>
  <c r="Q15" s="1"/>
  <c r="E68" i="12"/>
  <c r="Y68" s="1"/>
  <c r="E64"/>
  <c r="Y64" s="1"/>
  <c r="K14" i="5"/>
  <c r="E25" i="12"/>
  <c r="Y25"/>
  <c r="P106"/>
  <c r="O106"/>
  <c r="I31" i="2"/>
  <c r="C75" i="12"/>
  <c r="W75" s="1"/>
  <c r="J54" i="6"/>
  <c r="F81"/>
  <c r="B67" i="2"/>
  <c r="E50" i="9"/>
  <c r="G216" i="3"/>
  <c r="K164"/>
  <c r="M17" i="2"/>
  <c r="R17"/>
  <c r="S17"/>
  <c r="F110" i="9"/>
  <c r="F112"/>
  <c r="H47" i="5"/>
  <c r="N47" s="1"/>
  <c r="B53" i="12"/>
  <c r="V53" s="1"/>
  <c r="D52"/>
  <c r="X52" s="1"/>
  <c r="V73"/>
  <c r="S109" i="14"/>
  <c r="T110"/>
  <c r="DM34" i="10"/>
  <c r="BO19" i="11"/>
  <c r="DN44" i="10"/>
  <c r="BP36" i="11"/>
  <c r="I51" i="2"/>
  <c r="C91" i="12"/>
  <c r="C42" i="2"/>
  <c r="U106" i="10"/>
  <c r="DP89"/>
  <c r="DQ89"/>
  <c r="E84" i="12"/>
  <c r="Y84" s="1"/>
  <c r="DK106" i="10"/>
  <c r="DL106"/>
  <c r="I23" i="5"/>
  <c r="O23" s="1"/>
  <c r="C32" i="12"/>
  <c r="W32"/>
  <c r="I32" i="2"/>
  <c r="O32" s="1"/>
  <c r="C76" i="12"/>
  <c r="W76"/>
  <c r="J50" i="2"/>
  <c r="D90" i="12"/>
  <c r="X90"/>
  <c r="H22" i="5"/>
  <c r="N22" s="1"/>
  <c r="B31" i="12"/>
  <c r="V31"/>
  <c r="BO49" i="11"/>
  <c r="DM59" i="10"/>
  <c r="N11" i="2"/>
  <c r="O47" i="5"/>
  <c r="J120" i="14"/>
  <c r="K121"/>
  <c r="K120"/>
  <c r="AX106" i="10"/>
  <c r="AY106"/>
  <c r="W92" i="12"/>
  <c r="O60" i="2"/>
  <c r="H43"/>
  <c r="B84" i="12"/>
  <c r="V84" s="1"/>
  <c r="J106"/>
  <c r="R61" i="2"/>
  <c r="S61" s="1"/>
  <c r="N58" i="5"/>
  <c r="H60"/>
  <c r="N60" s="1"/>
  <c r="H30" i="2"/>
  <c r="N31"/>
  <c r="K150" i="14"/>
  <c r="K149"/>
  <c r="J149"/>
  <c r="D9" i="5"/>
  <c r="B42" i="2"/>
  <c r="Q60"/>
  <c r="B55"/>
  <c r="J49" i="5"/>
  <c r="P49" s="1"/>
  <c r="D55" i="12"/>
  <c r="X55" s="1"/>
  <c r="BP93" i="11"/>
  <c r="I53" i="2" s="1"/>
  <c r="O53" s="1"/>
  <c r="DQ92" i="10"/>
  <c r="P58" i="5"/>
  <c r="I39" i="2"/>
  <c r="O39" s="1"/>
  <c r="C81" i="12"/>
  <c r="W81" s="1"/>
  <c r="I15" i="5"/>
  <c r="O15"/>
  <c r="C23" i="12"/>
  <c r="W23" s="1"/>
  <c r="I41" i="2"/>
  <c r="O41" s="1"/>
  <c r="C83" i="12"/>
  <c r="W83" s="1"/>
  <c r="E18"/>
  <c r="DQ11" i="10"/>
  <c r="DP11"/>
  <c r="DQ105"/>
  <c r="BS106" i="11"/>
  <c r="DP105" i="10"/>
  <c r="BR106" i="11" s="1"/>
  <c r="BT106" s="1"/>
  <c r="BP106"/>
  <c r="C106" i="12" s="1"/>
  <c r="E106" s="1"/>
  <c r="E42" i="2"/>
  <c r="J36"/>
  <c r="D78" i="12"/>
  <c r="I28" i="2"/>
  <c r="I25" s="1"/>
  <c r="W73" i="12"/>
  <c r="I35" i="5"/>
  <c r="O35" s="1"/>
  <c r="W41" i="12"/>
  <c r="E91" i="9"/>
  <c r="H36" i="2"/>
  <c r="B78" i="12"/>
  <c r="I60" i="5"/>
  <c r="O60" s="1"/>
  <c r="O58"/>
  <c r="J38"/>
  <c r="P38" s="1"/>
  <c r="D44" i="12"/>
  <c r="X44"/>
  <c r="K104" i="14"/>
  <c r="K102"/>
  <c r="J102"/>
  <c r="E47" i="12"/>
  <c r="J56" i="14"/>
  <c r="K57"/>
  <c r="K56" s="1"/>
  <c r="J281"/>
  <c r="K281"/>
  <c r="I280"/>
  <c r="J280" s="1"/>
  <c r="K280" s="1"/>
  <c r="DP62" i="10"/>
  <c r="DN76"/>
  <c r="DN86" s="1"/>
  <c r="DN104" s="1"/>
  <c r="BT106" i="7"/>
  <c r="AN106" i="8"/>
  <c r="E16" i="2"/>
  <c r="G16" s="1"/>
  <c r="AY45" i="10"/>
  <c r="AY60"/>
  <c r="E101" i="12"/>
  <c r="Y101"/>
  <c r="BK105" i="11"/>
  <c r="O87" i="12"/>
  <c r="O105"/>
  <c r="DM85" i="10"/>
  <c r="AY86"/>
  <c r="AY104"/>
  <c r="BP90" i="11"/>
  <c r="I50" i="2" s="1"/>
  <c r="BH59" i="10"/>
  <c r="BH76"/>
  <c r="AN105" i="11"/>
  <c r="T9" i="14"/>
  <c r="T65"/>
  <c r="O104" i="10"/>
  <c r="BQ50" i="11"/>
  <c r="BH46" i="7"/>
  <c r="BH61"/>
  <c r="CB105"/>
  <c r="BW87"/>
  <c r="BW105"/>
  <c r="T106" i="8"/>
  <c r="DP28" i="10"/>
  <c r="BA87" i="8"/>
  <c r="O50" i="9"/>
  <c r="O65"/>
  <c r="CQ60" i="10"/>
  <c r="D67" i="2"/>
  <c r="O45" i="10"/>
  <c r="O60"/>
  <c r="Y86"/>
  <c r="Y104"/>
  <c r="Y46" i="8"/>
  <c r="BF45" i="10"/>
  <c r="BF60" s="1"/>
  <c r="BE86"/>
  <c r="BE104"/>
  <c r="BM104" i="11"/>
  <c r="BM105" s="1"/>
  <c r="DF76" i="10"/>
  <c r="BR23" i="11"/>
  <c r="E23" i="12" s="1"/>
  <c r="Y23" s="1"/>
  <c r="Y46" i="11"/>
  <c r="Y61"/>
  <c r="M107"/>
  <c r="CF46" i="7"/>
  <c r="CF61"/>
  <c r="BR41" i="11"/>
  <c r="BC87"/>
  <c r="BC105"/>
  <c r="CQ104" i="10"/>
  <c r="BS14" i="11"/>
  <c r="F14" i="12"/>
  <c r="Z14"/>
  <c r="BL87" i="11"/>
  <c r="BL105" s="1"/>
  <c r="E293" i="14"/>
  <c r="S9"/>
  <c r="AO104" i="10"/>
  <c r="BS86"/>
  <c r="BS104" s="1"/>
  <c r="AX46" i="11"/>
  <c r="Y105"/>
  <c r="Q61" i="12"/>
  <c r="DP71" i="10"/>
  <c r="BR72" i="11" s="1"/>
  <c r="BR100"/>
  <c r="E100" i="12"/>
  <c r="Y100" s="1"/>
  <c r="DM103" i="10"/>
  <c r="AT46" i="11"/>
  <c r="J45" i="10"/>
  <c r="J60"/>
  <c r="F106"/>
  <c r="U65" i="14"/>
  <c r="D13" i="5"/>
  <c r="G81" i="6"/>
  <c r="J81" s="1"/>
  <c r="C67" i="2"/>
  <c r="F168" i="6"/>
  <c r="J146"/>
  <c r="F323" i="3"/>
  <c r="R24" i="2"/>
  <c r="S24" s="1"/>
  <c r="R60"/>
  <c r="K321" i="3"/>
  <c r="D42" i="2"/>
  <c r="G323" i="3"/>
  <c r="K294"/>
  <c r="G336"/>
  <c r="F42" i="2"/>
  <c r="F26"/>
  <c r="CH77" i="7"/>
  <c r="H21" i="5"/>
  <c r="N21"/>
  <c r="B30" i="12"/>
  <c r="V30" s="1"/>
  <c r="BW106" i="10"/>
  <c r="BX106"/>
  <c r="E107" i="11"/>
  <c r="H40" i="2"/>
  <c r="B82" i="12"/>
  <c r="V82"/>
  <c r="T272" i="14"/>
  <c r="DP18" i="10"/>
  <c r="DF85"/>
  <c r="DP77"/>
  <c r="I71" i="2"/>
  <c r="O71" s="1"/>
  <c r="O69"/>
  <c r="CW106" i="10"/>
  <c r="BD107" i="11"/>
  <c r="X89" i="12"/>
  <c r="I54" i="2"/>
  <c r="C94" i="12"/>
  <c r="CL106" i="10"/>
  <c r="J33" i="5"/>
  <c r="P33" s="1"/>
  <c r="D39" i="12"/>
  <c r="X39"/>
  <c r="H44" i="2"/>
  <c r="B85" i="12"/>
  <c r="V85"/>
  <c r="D81"/>
  <c r="X81" s="1"/>
  <c r="DQ93" i="10"/>
  <c r="BS94" i="11" s="1"/>
  <c r="F94" i="12" s="1"/>
  <c r="Z94" s="1"/>
  <c r="BO94" i="11"/>
  <c r="H54" i="2" s="1"/>
  <c r="K107" i="11"/>
  <c r="J107"/>
  <c r="W19" i="12"/>
  <c r="J10" i="5"/>
  <c r="P10" s="1"/>
  <c r="D19" i="12"/>
  <c r="X19"/>
  <c r="T142" i="14"/>
  <c r="E112" i="9"/>
  <c r="P106" i="10"/>
  <c r="O106"/>
  <c r="U156" i="14"/>
  <c r="U155" s="1"/>
  <c r="T155"/>
  <c r="BH107" i="11"/>
  <c r="BI107"/>
  <c r="BC106" i="10"/>
  <c r="J12" i="5"/>
  <c r="D21" i="12"/>
  <c r="X21" s="1"/>
  <c r="H50" i="2"/>
  <c r="L71"/>
  <c r="R71" s="1"/>
  <c r="J12"/>
  <c r="P12" s="1"/>
  <c r="D65" i="12"/>
  <c r="X65" s="1"/>
  <c r="O11" i="2"/>
  <c r="U8" i="16"/>
  <c r="U97" i="14"/>
  <c r="U96" s="1"/>
  <c r="T96"/>
  <c r="AA45" i="4"/>
  <c r="G48"/>
  <c r="N60" i="2"/>
  <c r="H27" i="1"/>
  <c r="G28" i="2"/>
  <c r="AB45" i="4"/>
  <c r="H48"/>
  <c r="BH44" i="10"/>
  <c r="J52" i="5"/>
  <c r="D58" i="12"/>
  <c r="X58" s="1"/>
  <c r="BO37" i="11"/>
  <c r="DM44" i="10"/>
  <c r="DM45"/>
  <c r="DM60" s="1"/>
  <c r="I50" i="5"/>
  <c r="O50" s="1"/>
  <c r="C56" i="12"/>
  <c r="W56" s="1"/>
  <c r="BR18" i="11"/>
  <c r="S113" i="14"/>
  <c r="T114"/>
  <c r="U114" s="1"/>
  <c r="U113" s="1"/>
  <c r="W63" i="12"/>
  <c r="E63"/>
  <c r="AT112" i="9"/>
  <c r="AS112"/>
  <c r="AY112"/>
  <c r="H79" i="6"/>
  <c r="F509"/>
  <c r="J79"/>
  <c r="DQ94" i="10"/>
  <c r="DP94"/>
  <c r="BR95" i="11" s="1"/>
  <c r="E95" i="12" s="1"/>
  <c r="Y95" s="1"/>
  <c r="BP95" i="11"/>
  <c r="C95" i="12" s="1"/>
  <c r="W95" s="1"/>
  <c r="X63"/>
  <c r="K52" i="5"/>
  <c r="Q52" s="1"/>
  <c r="E58" i="12"/>
  <c r="Y58" s="1"/>
  <c r="DP88" i="10"/>
  <c r="DN103"/>
  <c r="K97" i="14"/>
  <c r="K96"/>
  <c r="J96"/>
  <c r="T121"/>
  <c r="H16" i="2"/>
  <c r="N16" s="1"/>
  <c r="H7" i="1" s="1"/>
  <c r="I24" i="5"/>
  <c r="O24" s="1"/>
  <c r="N49"/>
  <c r="DN85" i="10"/>
  <c r="BP78" i="11"/>
  <c r="C78" i="12" s="1"/>
  <c r="W78" s="1"/>
  <c r="DQ91" i="10"/>
  <c r="DP91"/>
  <c r="BR92" i="11"/>
  <c r="E92" i="12" s="1"/>
  <c r="Y92" s="1"/>
  <c r="J142" i="14"/>
  <c r="I141"/>
  <c r="DP46" i="10"/>
  <c r="T280" i="14"/>
  <c r="U281"/>
  <c r="U280"/>
  <c r="U35"/>
  <c r="I58" i="3"/>
  <c r="E168" i="6"/>
  <c r="AN46" i="7"/>
  <c r="AN61"/>
  <c r="AN106" s="1"/>
  <c r="BH87"/>
  <c r="BH105"/>
  <c r="I164" i="3"/>
  <c r="O46" i="8"/>
  <c r="O61"/>
  <c r="DP27" i="10"/>
  <c r="BR67" i="11"/>
  <c r="E67" i="12" s="1"/>
  <c r="Y67" s="1"/>
  <c r="E46" i="11"/>
  <c r="E61"/>
  <c r="AI91" i="9"/>
  <c r="AI110"/>
  <c r="BR19" i="11"/>
  <c r="AS46"/>
  <c r="AS61"/>
  <c r="AX105"/>
  <c r="E87" i="7"/>
  <c r="DF103" i="10"/>
  <c r="S46" i="12"/>
  <c r="S61" s="1"/>
  <c r="S106" s="1"/>
  <c r="AS91" i="9"/>
  <c r="AS110" s="1"/>
  <c r="DK45" i="10"/>
  <c r="DK60"/>
  <c r="T102" i="14"/>
  <c r="AY110" i="9"/>
  <c r="S155" i="14"/>
  <c r="BX46" i="8"/>
  <c r="BX61" s="1"/>
  <c r="BX106" s="1"/>
  <c r="DP74" i="10"/>
  <c r="AE86"/>
  <c r="AE104"/>
  <c r="DO85"/>
  <c r="DO86" s="1"/>
  <c r="I323" i="3"/>
  <c r="CD61" i="7"/>
  <c r="Y87" i="8"/>
  <c r="Y105" s="1"/>
  <c r="H146" i="6"/>
  <c r="B9" i="5"/>
  <c r="BZ86" i="8"/>
  <c r="I55" i="3"/>
  <c r="K55" s="1"/>
  <c r="J55"/>
  <c r="T46" i="7"/>
  <c r="T61" s="1"/>
  <c r="H106"/>
  <c r="AN87"/>
  <c r="AN105"/>
  <c r="AI87"/>
  <c r="AI105"/>
  <c r="BW61" i="8"/>
  <c r="BK105"/>
  <c r="BK106" s="1"/>
  <c r="BA46"/>
  <c r="AI65" i="9"/>
  <c r="AI112"/>
  <c r="DE86" i="10"/>
  <c r="DE104"/>
  <c r="BR20" i="11"/>
  <c r="BR53"/>
  <c r="E53" i="12" s="1"/>
  <c r="Y53" s="1"/>
  <c r="BR57" i="11"/>
  <c r="E57" i="12" s="1"/>
  <c r="Y57" s="1"/>
  <c r="J105"/>
  <c r="AE45" i="10"/>
  <c r="AE60" s="1"/>
  <c r="BM60"/>
  <c r="BM86"/>
  <c r="BM104" s="1"/>
  <c r="N35" i="5"/>
  <c r="DP33" i="10"/>
  <c r="BR34" i="11"/>
  <c r="DP50" i="10"/>
  <c r="AN61" i="11"/>
  <c r="BI46"/>
  <c r="BI61" s="1"/>
  <c r="AK107"/>
  <c r="AO107"/>
  <c r="BR75"/>
  <c r="E94" i="12"/>
  <c r="BR15" i="11"/>
  <c r="E15" i="12"/>
  <c r="BQ36" i="11"/>
  <c r="D36" i="12" s="1"/>
  <c r="AO87" i="11"/>
  <c r="AO105"/>
  <c r="O61"/>
  <c r="BR80"/>
  <c r="BR85"/>
  <c r="K44" i="2" s="1"/>
  <c r="M293" i="14"/>
  <c r="CH104" i="10"/>
  <c r="AI86"/>
  <c r="AI104" s="1"/>
  <c r="O46" i="12"/>
  <c r="O61"/>
  <c r="BD50" i="9"/>
  <c r="J86" i="10"/>
  <c r="J104"/>
  <c r="G40" i="2"/>
  <c r="DM76" i="10"/>
  <c r="DM86" s="1"/>
  <c r="DM104" s="1"/>
  <c r="BM86" i="11"/>
  <c r="BR31"/>
  <c r="K22" i="5" s="1"/>
  <c r="BD61" i="11"/>
  <c r="BC61"/>
  <c r="T83" i="14"/>
  <c r="BC91" i="9"/>
  <c r="BW45" i="10"/>
  <c r="BW60"/>
  <c r="DD104"/>
  <c r="DP73"/>
  <c r="BR74" i="11"/>
  <c r="BJ46"/>
  <c r="BJ61"/>
  <c r="BM77"/>
  <c r="BR90"/>
  <c r="E90" i="12" s="1"/>
  <c r="BG45" i="10"/>
  <c r="BG60"/>
  <c r="BF109" i="9"/>
  <c r="CV45" i="10"/>
  <c r="K60" i="5"/>
  <c r="Q60" s="1"/>
  <c r="S96" i="14"/>
  <c r="O54" i="2"/>
  <c r="BN87" i="11"/>
  <c r="BN105"/>
  <c r="BM87"/>
  <c r="BN46"/>
  <c r="BN61" s="1"/>
  <c r="N40" i="2"/>
  <c r="E85" i="12"/>
  <c r="Y85" s="1"/>
  <c r="J30" i="5"/>
  <c r="K25"/>
  <c r="Q25" s="1"/>
  <c r="E34" i="12"/>
  <c r="Y34" s="1"/>
  <c r="K35" i="5"/>
  <c r="Q35" s="1"/>
  <c r="E41" i="12"/>
  <c r="Y41" s="1"/>
  <c r="J141" i="14"/>
  <c r="K142"/>
  <c r="K141"/>
  <c r="U121"/>
  <c r="W94" i="12"/>
  <c r="U272" i="14"/>
  <c r="F25" i="2"/>
  <c r="R26"/>
  <c r="G26"/>
  <c r="V78" i="12"/>
  <c r="P36" i="2"/>
  <c r="J16" i="1" s="1"/>
  <c r="C93" i="12"/>
  <c r="B65" i="2"/>
  <c r="T109" i="14"/>
  <c r="U110"/>
  <c r="U109" s="1"/>
  <c r="I30" i="2"/>
  <c r="O31"/>
  <c r="K11" i="5"/>
  <c r="I36" i="2"/>
  <c r="Y63" i="12"/>
  <c r="B37"/>
  <c r="V37" s="1"/>
  <c r="H31" i="5"/>
  <c r="V90" i="12"/>
  <c r="K15" i="5"/>
  <c r="Q15" s="1"/>
  <c r="J44"/>
  <c r="P44" s="1"/>
  <c r="D50" i="12"/>
  <c r="X50" s="1"/>
  <c r="E110" i="9"/>
  <c r="L25" i="2"/>
  <c r="BR28" i="11"/>
  <c r="DF86" i="10"/>
  <c r="DF104" s="1"/>
  <c r="BH106" i="7"/>
  <c r="BR78" i="11"/>
  <c r="X78" i="12"/>
  <c r="N43" i="2"/>
  <c r="P50"/>
  <c r="J49"/>
  <c r="Q43"/>
  <c r="K10" i="5"/>
  <c r="P52"/>
  <c r="C90" i="12"/>
  <c r="Q16" i="2"/>
  <c r="K7" i="1" s="1"/>
  <c r="H43" i="5"/>
  <c r="B49" i="12"/>
  <c r="V49" s="1"/>
  <c r="W91"/>
  <c r="H10" i="5"/>
  <c r="N10" s="1"/>
  <c r="B19" i="12"/>
  <c r="V19" s="1"/>
  <c r="G340" i="3"/>
  <c r="H81" i="6"/>
  <c r="N54" i="2"/>
  <c r="J42" i="5"/>
  <c r="P42" s="1"/>
  <c r="D25" i="1" s="1"/>
  <c r="K44" i="5"/>
  <c r="K36" i="2"/>
  <c r="I49"/>
  <c r="W93" i="12"/>
  <c r="N31" i="5"/>
  <c r="B17" i="1" s="1"/>
  <c r="P49" i="2"/>
  <c r="J30" i="1" s="1"/>
  <c r="H42" i="5"/>
  <c r="X36" i="12"/>
  <c r="O49" i="2"/>
  <c r="Q49" s="1"/>
  <c r="K30" i="1" s="1"/>
  <c r="E59" i="2" l="1"/>
  <c r="Q59" s="1"/>
  <c r="K27" i="1" s="1"/>
  <c r="BP45" i="11"/>
  <c r="O31" i="5"/>
  <c r="C17" i="1" s="1"/>
  <c r="O28" i="2"/>
  <c r="I52" i="5"/>
  <c r="O52" s="1"/>
  <c r="K32" i="1"/>
  <c r="E18" i="5"/>
  <c r="S60" i="2"/>
  <c r="C55"/>
  <c r="B18" i="5"/>
  <c r="E387" i="6"/>
  <c r="E508" s="1"/>
  <c r="E511" s="1"/>
  <c r="H387"/>
  <c r="H508" s="1"/>
  <c r="C222"/>
  <c r="H503"/>
  <c r="F508"/>
  <c r="F511" s="1"/>
  <c r="I503"/>
  <c r="O165" i="15"/>
  <c r="S364"/>
  <c r="T364" s="1"/>
  <c r="S356"/>
  <c r="S348"/>
  <c r="T348" s="1"/>
  <c r="S340"/>
  <c r="T340" s="1"/>
  <c r="T356"/>
  <c r="K221"/>
  <c r="K220" s="1"/>
  <c r="J220"/>
  <c r="S97"/>
  <c r="Y9"/>
  <c r="S355"/>
  <c r="T355" s="1"/>
  <c r="X126"/>
  <c r="I242"/>
  <c r="S410"/>
  <c r="S390"/>
  <c r="S354"/>
  <c r="T354" s="1"/>
  <c r="Y255"/>
  <c r="S253"/>
  <c r="W238"/>
  <c r="S238" s="1"/>
  <c r="T238" s="1"/>
  <c r="U238" s="1"/>
  <c r="O224"/>
  <c r="V220"/>
  <c r="S190"/>
  <c r="T190" s="1"/>
  <c r="U190" s="1"/>
  <c r="S157"/>
  <c r="S156" s="1"/>
  <c r="S153"/>
  <c r="T153" s="1"/>
  <c r="U153" s="1"/>
  <c r="S137"/>
  <c r="T137" s="1"/>
  <c r="U137" s="1"/>
  <c r="S130"/>
  <c r="T130" s="1"/>
  <c r="U130" s="1"/>
  <c r="S82"/>
  <c r="T82" s="1"/>
  <c r="U82" s="1"/>
  <c r="S56"/>
  <c r="T56" s="1"/>
  <c r="U56" s="1"/>
  <c r="I53"/>
  <c r="I38"/>
  <c r="S388"/>
  <c r="T388" s="1"/>
  <c r="S344"/>
  <c r="X132"/>
  <c r="I96"/>
  <c r="W156"/>
  <c r="AA53"/>
  <c r="AD380"/>
  <c r="S367"/>
  <c r="S352"/>
  <c r="T352" s="1"/>
  <c r="S337"/>
  <c r="T337" s="1"/>
  <c r="U337" s="1"/>
  <c r="S326"/>
  <c r="T326" s="1"/>
  <c r="U326" s="1"/>
  <c r="S297"/>
  <c r="T297" s="1"/>
  <c r="U297" s="1"/>
  <c r="S295"/>
  <c r="T295" s="1"/>
  <c r="U295" s="1"/>
  <c r="S283"/>
  <c r="T283" s="1"/>
  <c r="U283" s="1"/>
  <c r="S236"/>
  <c r="T236" s="1"/>
  <c r="U236" s="1"/>
  <c r="S197"/>
  <c r="T197" s="1"/>
  <c r="U197" s="1"/>
  <c r="S185"/>
  <c r="T185" s="1"/>
  <c r="U185" s="1"/>
  <c r="S179"/>
  <c r="T179" s="1"/>
  <c r="U179" s="1"/>
  <c r="S178"/>
  <c r="T178" s="1"/>
  <c r="U178" s="1"/>
  <c r="S171"/>
  <c r="AB144"/>
  <c r="S141"/>
  <c r="S121"/>
  <c r="S76"/>
  <c r="T76" s="1"/>
  <c r="U76" s="1"/>
  <c r="S73"/>
  <c r="T73" s="1"/>
  <c r="U73" s="1"/>
  <c r="S65"/>
  <c r="T65" s="1"/>
  <c r="U65" s="1"/>
  <c r="S46"/>
  <c r="T46" s="1"/>
  <c r="U46" s="1"/>
  <c r="S31"/>
  <c r="T31" s="1"/>
  <c r="U31" s="1"/>
  <c r="S29"/>
  <c r="T29" s="1"/>
  <c r="U29" s="1"/>
  <c r="T344"/>
  <c r="U344" s="1"/>
  <c r="K130"/>
  <c r="J126"/>
  <c r="K46"/>
  <c r="K38" s="1"/>
  <c r="J38"/>
  <c r="S358"/>
  <c r="T358" s="1"/>
  <c r="S342"/>
  <c r="S334"/>
  <c r="T334" s="1"/>
  <c r="U334" s="1"/>
  <c r="S330"/>
  <c r="T330" s="1"/>
  <c r="U330" s="1"/>
  <c r="S328"/>
  <c r="T328" s="1"/>
  <c r="U328" s="1"/>
  <c r="S322"/>
  <c r="T322" s="1"/>
  <c r="U322" s="1"/>
  <c r="S320"/>
  <c r="T320" s="1"/>
  <c r="U320" s="1"/>
  <c r="S317"/>
  <c r="T317" s="1"/>
  <c r="U317" s="1"/>
  <c r="S315"/>
  <c r="S313"/>
  <c r="S298"/>
  <c r="T298" s="1"/>
  <c r="U298" s="1"/>
  <c r="S278"/>
  <c r="T278" s="1"/>
  <c r="U278" s="1"/>
  <c r="AA252"/>
  <c r="AA273" s="1"/>
  <c r="W242"/>
  <c r="S242" s="1"/>
  <c r="T242" s="1"/>
  <c r="U242" s="1"/>
  <c r="V242"/>
  <c r="I238"/>
  <c r="V231"/>
  <c r="X220"/>
  <c r="I220"/>
  <c r="S212"/>
  <c r="T212" s="1"/>
  <c r="U212" s="1"/>
  <c r="S177"/>
  <c r="T177" s="1"/>
  <c r="U177" s="1"/>
  <c r="S172"/>
  <c r="S170"/>
  <c r="T170" s="1"/>
  <c r="U170" s="1"/>
  <c r="S158"/>
  <c r="T158" s="1"/>
  <c r="U158" s="1"/>
  <c r="S129"/>
  <c r="T129" s="1"/>
  <c r="S127"/>
  <c r="AB112"/>
  <c r="O112"/>
  <c r="S108"/>
  <c r="S99"/>
  <c r="T99" s="1"/>
  <c r="U99" s="1"/>
  <c r="S45"/>
  <c r="T45" s="1"/>
  <c r="U45" s="1"/>
  <c r="S12"/>
  <c r="Y53"/>
  <c r="K126"/>
  <c r="O231"/>
  <c r="J139"/>
  <c r="O96"/>
  <c r="J28"/>
  <c r="S389"/>
  <c r="T389" s="1"/>
  <c r="S366"/>
  <c r="S363"/>
  <c r="T363" s="1"/>
  <c r="S350"/>
  <c r="S347"/>
  <c r="T347" s="1"/>
  <c r="S327"/>
  <c r="S324"/>
  <c r="T324" s="1"/>
  <c r="U324" s="1"/>
  <c r="S321"/>
  <c r="T321" s="1"/>
  <c r="U321" s="1"/>
  <c r="S319"/>
  <c r="S300"/>
  <c r="T300" s="1"/>
  <c r="U300" s="1"/>
  <c r="S254"/>
  <c r="T254" s="1"/>
  <c r="S214"/>
  <c r="T214" s="1"/>
  <c r="U214" s="1"/>
  <c r="S213"/>
  <c r="T213" s="1"/>
  <c r="U213" s="1"/>
  <c r="S207"/>
  <c r="T207" s="1"/>
  <c r="U207" s="1"/>
  <c r="S191"/>
  <c r="T191" s="1"/>
  <c r="U191" s="1"/>
  <c r="O132"/>
  <c r="W105"/>
  <c r="S102"/>
  <c r="T102" s="1"/>
  <c r="U102" s="1"/>
  <c r="S59"/>
  <c r="T59" s="1"/>
  <c r="U59" s="1"/>
  <c r="S41"/>
  <c r="S34"/>
  <c r="T34" s="1"/>
  <c r="U34" s="1"/>
  <c r="K31"/>
  <c r="K28" s="1"/>
  <c r="S362"/>
  <c r="T362" s="1"/>
  <c r="S359"/>
  <c r="T359" s="1"/>
  <c r="S346"/>
  <c r="S343"/>
  <c r="S339"/>
  <c r="T339" s="1"/>
  <c r="U339" s="1"/>
  <c r="S336"/>
  <c r="T336" s="1"/>
  <c r="U336" s="1"/>
  <c r="S332"/>
  <c r="T332" s="1"/>
  <c r="U332" s="1"/>
  <c r="S308"/>
  <c r="T308" s="1"/>
  <c r="U308" s="1"/>
  <c r="S307"/>
  <c r="S303"/>
  <c r="T303" s="1"/>
  <c r="U303" s="1"/>
  <c r="S292"/>
  <c r="T292" s="1"/>
  <c r="U292" s="1"/>
  <c r="S290"/>
  <c r="S289"/>
  <c r="T289" s="1"/>
  <c r="U289" s="1"/>
  <c r="S266"/>
  <c r="T266" s="1"/>
  <c r="U266" s="1"/>
  <c r="S262"/>
  <c r="T262" s="1"/>
  <c r="U262" s="1"/>
  <c r="V238"/>
  <c r="O220"/>
  <c r="S180"/>
  <c r="T180" s="1"/>
  <c r="U180" s="1"/>
  <c r="O139"/>
  <c r="S134"/>
  <c r="T134" s="1"/>
  <c r="U134" s="1"/>
  <c r="S110"/>
  <c r="T110" s="1"/>
  <c r="S107"/>
  <c r="S92"/>
  <c r="T92" s="1"/>
  <c r="U92" s="1"/>
  <c r="S74"/>
  <c r="T74" s="1"/>
  <c r="U74" s="1"/>
  <c r="S63"/>
  <c r="T63" s="1"/>
  <c r="U63" s="1"/>
  <c r="S44"/>
  <c r="T44" s="1"/>
  <c r="U44" s="1"/>
  <c r="O9"/>
  <c r="J119"/>
  <c r="K122"/>
  <c r="K119" s="1"/>
  <c r="U116"/>
  <c r="U112" s="1"/>
  <c r="T112"/>
  <c r="J275"/>
  <c r="U91"/>
  <c r="U122"/>
  <c r="K101"/>
  <c r="K96" s="1"/>
  <c r="J96"/>
  <c r="K55"/>
  <c r="J53"/>
  <c r="K254"/>
  <c r="K252" s="1"/>
  <c r="K273" s="1"/>
  <c r="J252"/>
  <c r="J273" s="1"/>
  <c r="J105"/>
  <c r="K109"/>
  <c r="K105" s="1"/>
  <c r="K21"/>
  <c r="J9"/>
  <c r="Y250"/>
  <c r="V252"/>
  <c r="V273" s="1"/>
  <c r="AB165"/>
  <c r="K150"/>
  <c r="AB132"/>
  <c r="G250"/>
  <c r="C250"/>
  <c r="V119"/>
  <c r="P250"/>
  <c r="S17"/>
  <c r="T17" s="1"/>
  <c r="AB9"/>
  <c r="S407"/>
  <c r="S403"/>
  <c r="S402"/>
  <c r="S399"/>
  <c r="S398"/>
  <c r="S395"/>
  <c r="S394"/>
  <c r="V384"/>
  <c r="W384"/>
  <c r="S325"/>
  <c r="T325" s="1"/>
  <c r="U325" s="1"/>
  <c r="S323"/>
  <c r="T323" s="1"/>
  <c r="U323" s="1"/>
  <c r="S316"/>
  <c r="T316" s="1"/>
  <c r="U316" s="1"/>
  <c r="S311"/>
  <c r="T311" s="1"/>
  <c r="S310"/>
  <c r="T310" s="1"/>
  <c r="U310" s="1"/>
  <c r="S285"/>
  <c r="T285" s="1"/>
  <c r="U285" s="1"/>
  <c r="S280"/>
  <c r="S279"/>
  <c r="T279" s="1"/>
  <c r="U279" s="1"/>
  <c r="S277"/>
  <c r="T277" s="1"/>
  <c r="U277" s="1"/>
  <c r="I275"/>
  <c r="X275"/>
  <c r="S264"/>
  <c r="T264" s="1"/>
  <c r="U264" s="1"/>
  <c r="S260"/>
  <c r="T260" s="1"/>
  <c r="U260" s="1"/>
  <c r="S259"/>
  <c r="T259" s="1"/>
  <c r="U259" s="1"/>
  <c r="S257"/>
  <c r="T257" s="1"/>
  <c r="X252"/>
  <c r="X273" s="1"/>
  <c r="I252"/>
  <c r="I273" s="1"/>
  <c r="S240"/>
  <c r="T240" s="1"/>
  <c r="U240" s="1"/>
  <c r="S229"/>
  <c r="T229" s="1"/>
  <c r="U229" s="1"/>
  <c r="X224"/>
  <c r="S227"/>
  <c r="T227" s="1"/>
  <c r="U227" s="1"/>
  <c r="S222"/>
  <c r="T222" s="1"/>
  <c r="U222" s="1"/>
  <c r="S210"/>
  <c r="T210" s="1"/>
  <c r="U210" s="1"/>
  <c r="S209"/>
  <c r="T209" s="1"/>
  <c r="U209" s="1"/>
  <c r="S208"/>
  <c r="T208" s="1"/>
  <c r="U208" s="1"/>
  <c r="S203"/>
  <c r="T203" s="1"/>
  <c r="U203" s="1"/>
  <c r="S192"/>
  <c r="T192" s="1"/>
  <c r="U192" s="1"/>
  <c r="S188"/>
  <c r="T188" s="1"/>
  <c r="U188" s="1"/>
  <c r="S187"/>
  <c r="T187" s="1"/>
  <c r="U187" s="1"/>
  <c r="S186"/>
  <c r="T186" s="1"/>
  <c r="U186" s="1"/>
  <c r="S182"/>
  <c r="T182" s="1"/>
  <c r="U182" s="1"/>
  <c r="S175"/>
  <c r="T175" s="1"/>
  <c r="U175" s="1"/>
  <c r="O150"/>
  <c r="S146"/>
  <c r="T146" s="1"/>
  <c r="U146" s="1"/>
  <c r="S145"/>
  <c r="S144" s="1"/>
  <c r="W139"/>
  <c r="K117"/>
  <c r="K112" s="1"/>
  <c r="W112"/>
  <c r="S98"/>
  <c r="X96"/>
  <c r="S93"/>
  <c r="S80"/>
  <c r="T80" s="1"/>
  <c r="U80" s="1"/>
  <c r="S67"/>
  <c r="T67" s="1"/>
  <c r="U67" s="1"/>
  <c r="S58"/>
  <c r="T58" s="1"/>
  <c r="U58" s="1"/>
  <c r="S57"/>
  <c r="T57" s="1"/>
  <c r="U57" s="1"/>
  <c r="S51"/>
  <c r="T51" s="1"/>
  <c r="U51" s="1"/>
  <c r="S50"/>
  <c r="T50" s="1"/>
  <c r="U50" s="1"/>
  <c r="S43"/>
  <c r="T43" s="1"/>
  <c r="U43" s="1"/>
  <c r="S42"/>
  <c r="T42" s="1"/>
  <c r="X38"/>
  <c r="S33"/>
  <c r="T33" s="1"/>
  <c r="U33" s="1"/>
  <c r="S15"/>
  <c r="V413"/>
  <c r="S408"/>
  <c r="I384"/>
  <c r="I413" s="1"/>
  <c r="S365"/>
  <c r="T365" s="1"/>
  <c r="S361"/>
  <c r="T361" s="1"/>
  <c r="S357"/>
  <c r="S353"/>
  <c r="T353" s="1"/>
  <c r="S349"/>
  <c r="T349" s="1"/>
  <c r="S345"/>
  <c r="T345" s="1"/>
  <c r="S341"/>
  <c r="S314"/>
  <c r="S305"/>
  <c r="T305" s="1"/>
  <c r="U305" s="1"/>
  <c r="S304"/>
  <c r="T304" s="1"/>
  <c r="U304" s="1"/>
  <c r="S296"/>
  <c r="T296" s="1"/>
  <c r="U296" s="1"/>
  <c r="S293"/>
  <c r="T293" s="1"/>
  <c r="U293" s="1"/>
  <c r="O275"/>
  <c r="O380" s="1"/>
  <c r="W275"/>
  <c r="S267"/>
  <c r="T267" s="1"/>
  <c r="S265"/>
  <c r="T265" s="1"/>
  <c r="U265" s="1"/>
  <c r="Y254"/>
  <c r="Y252" s="1"/>
  <c r="Y273" s="1"/>
  <c r="O252"/>
  <c r="O273" s="1"/>
  <c r="O242"/>
  <c r="X231"/>
  <c r="S231" s="1"/>
  <c r="T231" s="1"/>
  <c r="U231" s="1"/>
  <c r="S234"/>
  <c r="T234" s="1"/>
  <c r="U234" s="1"/>
  <c r="W224"/>
  <c r="S224" s="1"/>
  <c r="T224" s="1"/>
  <c r="U224" s="1"/>
  <c r="S215"/>
  <c r="T215" s="1"/>
  <c r="U215" s="1"/>
  <c r="S206"/>
  <c r="T206" s="1"/>
  <c r="U206" s="1"/>
  <c r="S205"/>
  <c r="T205" s="1"/>
  <c r="U205" s="1"/>
  <c r="S204"/>
  <c r="T204" s="1"/>
  <c r="U204" s="1"/>
  <c r="S196"/>
  <c r="T196" s="1"/>
  <c r="U196" s="1"/>
  <c r="S184"/>
  <c r="T184" s="1"/>
  <c r="U184" s="1"/>
  <c r="S183"/>
  <c r="T183" s="1"/>
  <c r="U183" s="1"/>
  <c r="AB126"/>
  <c r="S123"/>
  <c r="T123" s="1"/>
  <c r="U123" s="1"/>
  <c r="I119"/>
  <c r="S85"/>
  <c r="T85" s="1"/>
  <c r="U85" s="1"/>
  <c r="S71"/>
  <c r="T71" s="1"/>
  <c r="U71" s="1"/>
  <c r="E250"/>
  <c r="S16"/>
  <c r="T16" s="1"/>
  <c r="K9"/>
  <c r="T360"/>
  <c r="S409"/>
  <c r="S405"/>
  <c r="S404"/>
  <c r="S401"/>
  <c r="S400"/>
  <c r="S397"/>
  <c r="S396"/>
  <c r="S393"/>
  <c r="W413"/>
  <c r="X413"/>
  <c r="S387"/>
  <c r="T387" s="1"/>
  <c r="O384"/>
  <c r="O413" s="1"/>
  <c r="AD382"/>
  <c r="Y376"/>
  <c r="S335"/>
  <c r="T335" s="1"/>
  <c r="U335" s="1"/>
  <c r="S318"/>
  <c r="S312"/>
  <c r="S299"/>
  <c r="T299" s="1"/>
  <c r="U299" s="1"/>
  <c r="S294"/>
  <c r="T294" s="1"/>
  <c r="U294" s="1"/>
  <c r="S288"/>
  <c r="T288" s="1"/>
  <c r="U288" s="1"/>
  <c r="S287"/>
  <c r="T287" s="1"/>
  <c r="S286"/>
  <c r="T286" s="1"/>
  <c r="U286" s="1"/>
  <c r="S281"/>
  <c r="T281" s="1"/>
  <c r="U281" s="1"/>
  <c r="Y275"/>
  <c r="S271"/>
  <c r="T271" s="1"/>
  <c r="U271" s="1"/>
  <c r="S270"/>
  <c r="T270" s="1"/>
  <c r="U270" s="1"/>
  <c r="S269"/>
  <c r="T269" s="1"/>
  <c r="U269" s="1"/>
  <c r="S261"/>
  <c r="T261" s="1"/>
  <c r="U261" s="1"/>
  <c r="S258"/>
  <c r="T258" s="1"/>
  <c r="S256"/>
  <c r="T256" s="1"/>
  <c r="S255"/>
  <c r="T255" s="1"/>
  <c r="U255" s="1"/>
  <c r="Z252"/>
  <c r="Z273" s="1"/>
  <c r="S245"/>
  <c r="T245" s="1"/>
  <c r="U245" s="1"/>
  <c r="S244"/>
  <c r="T244" s="1"/>
  <c r="U244" s="1"/>
  <c r="X242"/>
  <c r="K238"/>
  <c r="S233"/>
  <c r="T233" s="1"/>
  <c r="U233" s="1"/>
  <c r="S226"/>
  <c r="T226" s="1"/>
  <c r="U226" s="1"/>
  <c r="W220"/>
  <c r="S218"/>
  <c r="T218" s="1"/>
  <c r="U218" s="1"/>
  <c r="S217"/>
  <c r="T217" s="1"/>
  <c r="U217" s="1"/>
  <c r="S216"/>
  <c r="T216" s="1"/>
  <c r="U216" s="1"/>
  <c r="S211"/>
  <c r="T211" s="1"/>
  <c r="U211" s="1"/>
  <c r="S202"/>
  <c r="T202" s="1"/>
  <c r="U202" s="1"/>
  <c r="S200"/>
  <c r="T200" s="1"/>
  <c r="U200" s="1"/>
  <c r="S198"/>
  <c r="T198" s="1"/>
  <c r="U198" s="1"/>
  <c r="S189"/>
  <c r="T189" s="1"/>
  <c r="U189" s="1"/>
  <c r="S173"/>
  <c r="S169"/>
  <c r="T169" s="1"/>
  <c r="U169" s="1"/>
  <c r="AD156"/>
  <c r="D250"/>
  <c r="D382" s="1"/>
  <c r="W119"/>
  <c r="X119"/>
  <c r="O119"/>
  <c r="I112"/>
  <c r="O105"/>
  <c r="S100"/>
  <c r="T100" s="1"/>
  <c r="S84"/>
  <c r="T84" s="1"/>
  <c r="U84" s="1"/>
  <c r="S77"/>
  <c r="T77" s="1"/>
  <c r="U77" s="1"/>
  <c r="S72"/>
  <c r="T72" s="1"/>
  <c r="U72" s="1"/>
  <c r="S69"/>
  <c r="T69" s="1"/>
  <c r="U69" s="1"/>
  <c r="S61"/>
  <c r="T61" s="1"/>
  <c r="U61" s="1"/>
  <c r="S54"/>
  <c r="S26"/>
  <c r="T26" s="1"/>
  <c r="U26" s="1"/>
  <c r="G380"/>
  <c r="G382" s="1"/>
  <c r="C380"/>
  <c r="C382" s="1"/>
  <c r="P380"/>
  <c r="D380"/>
  <c r="W376"/>
  <c r="H380"/>
  <c r="AB380"/>
  <c r="L380"/>
  <c r="Q380"/>
  <c r="E380"/>
  <c r="F380"/>
  <c r="O376"/>
  <c r="R380"/>
  <c r="M380"/>
  <c r="N380"/>
  <c r="C31" i="1"/>
  <c r="R53" i="5"/>
  <c r="F31" i="1" s="1"/>
  <c r="Q44" i="5"/>
  <c r="P13"/>
  <c r="D8" i="1" s="1"/>
  <c r="R58" i="5"/>
  <c r="S58" s="1"/>
  <c r="B54"/>
  <c r="H37"/>
  <c r="N37" s="1"/>
  <c r="B43" i="12"/>
  <c r="V43" s="1"/>
  <c r="K39" i="2"/>
  <c r="Q39" s="1"/>
  <c r="E81" i="12"/>
  <c r="Y81" s="1"/>
  <c r="B42"/>
  <c r="V42" s="1"/>
  <c r="H36" i="5"/>
  <c r="N36" s="1"/>
  <c r="BO45" i="11"/>
  <c r="B68" i="12"/>
  <c r="V68" s="1"/>
  <c r="H15" i="2"/>
  <c r="N15" s="1"/>
  <c r="E73" i="12"/>
  <c r="Y73" s="1"/>
  <c r="K28" i="2"/>
  <c r="AE106" i="10"/>
  <c r="AD106"/>
  <c r="K57" i="2"/>
  <c r="X13" i="16"/>
  <c r="O106" i="8"/>
  <c r="Y106" i="10"/>
  <c r="Z106"/>
  <c r="D33" i="12"/>
  <c r="X33" s="1"/>
  <c r="J24" i="5"/>
  <c r="P24" s="1"/>
  <c r="BO86" i="11"/>
  <c r="B79" i="12"/>
  <c r="V79" s="1"/>
  <c r="D96"/>
  <c r="X96" s="1"/>
  <c r="J56" i="2"/>
  <c r="E56" i="12"/>
  <c r="Y56" s="1"/>
  <c r="K50" i="5"/>
  <c r="Q50" s="1"/>
  <c r="C97" i="12"/>
  <c r="W97" s="1"/>
  <c r="I57" i="2"/>
  <c r="BP104" i="11"/>
  <c r="T106" i="12"/>
  <c r="D32"/>
  <c r="X32" s="1"/>
  <c r="J23" i="5"/>
  <c r="P23" s="1"/>
  <c r="D80" i="12"/>
  <c r="X80" s="1"/>
  <c r="J38" i="2"/>
  <c r="C84" i="12"/>
  <c r="W84" s="1"/>
  <c r="I43" i="2"/>
  <c r="O43" s="1"/>
  <c r="K41"/>
  <c r="E83" i="12"/>
  <c r="Y83" s="1"/>
  <c r="K42" i="2"/>
  <c r="Q44"/>
  <c r="C55" i="12"/>
  <c r="BP60" i="11"/>
  <c r="Q14" i="5"/>
  <c r="E13"/>
  <c r="K12" i="2"/>
  <c r="Q12" s="1"/>
  <c r="F107" i="11"/>
  <c r="BJ107"/>
  <c r="BC106" i="7"/>
  <c r="Q41" i="2"/>
  <c r="K378" i="15"/>
  <c r="K376" s="1"/>
  <c r="J376"/>
  <c r="T367"/>
  <c r="T366"/>
  <c r="T351"/>
  <c r="T350"/>
  <c r="T346"/>
  <c r="T343"/>
  <c r="T342"/>
  <c r="K233"/>
  <c r="K231" s="1"/>
  <c r="J231"/>
  <c r="J224"/>
  <c r="K226"/>
  <c r="K224" s="1"/>
  <c r="K254" i="14"/>
  <c r="J222"/>
  <c r="J291" s="1"/>
  <c r="K88"/>
  <c r="K83" s="1"/>
  <c r="J83"/>
  <c r="U142"/>
  <c r="T113"/>
  <c r="C26" i="5"/>
  <c r="L47"/>
  <c r="BS92" i="11"/>
  <c r="F92" i="12" s="1"/>
  <c r="G18" i="5"/>
  <c r="N44" i="2"/>
  <c r="DP78" i="10"/>
  <c r="U9" i="14"/>
  <c r="AD105" i="11"/>
  <c r="S59" i="5"/>
  <c r="J7" i="16"/>
  <c r="J24" s="1"/>
  <c r="K222" i="14"/>
  <c r="K291" s="1"/>
  <c r="K161"/>
  <c r="J242" i="15"/>
  <c r="K243"/>
  <c r="K242" s="1"/>
  <c r="V165"/>
  <c r="B94" i="12"/>
  <c r="V94" s="1"/>
  <c r="I291" i="14"/>
  <c r="S70" i="2"/>
  <c r="O110" i="9"/>
  <c r="BS93" i="11"/>
  <c r="BR82"/>
  <c r="E82" i="12" s="1"/>
  <c r="Y82" s="1"/>
  <c r="X380" i="15"/>
  <c r="K275"/>
  <c r="T357"/>
  <c r="T341"/>
  <c r="BS90" i="11"/>
  <c r="F90" i="12" s="1"/>
  <c r="E33"/>
  <c r="Y33" s="1"/>
  <c r="BR29" i="11"/>
  <c r="S69" i="2"/>
  <c r="BR60" i="10"/>
  <c r="E102" i="12"/>
  <c r="Y102" s="1"/>
  <c r="Y91" i="9"/>
  <c r="Y110" s="1"/>
  <c r="J105" i="11"/>
  <c r="DP70" i="10"/>
  <c r="AB7" i="16"/>
  <c r="AB24" s="1"/>
  <c r="W380" i="15"/>
  <c r="K53"/>
  <c r="J9" i="14"/>
  <c r="K14"/>
  <c r="K9" s="1"/>
  <c r="U192"/>
  <c r="U188" s="1"/>
  <c r="U220" s="1"/>
  <c r="T188"/>
  <c r="T220" s="1"/>
  <c r="S252" i="15"/>
  <c r="S273" s="1"/>
  <c r="U159"/>
  <c r="U17"/>
  <c r="I30" i="1"/>
  <c r="I32" s="1"/>
  <c r="P107" i="11"/>
  <c r="K31" i="2"/>
  <c r="K30" s="1"/>
  <c r="O52"/>
  <c r="H42"/>
  <c r="N42" s="1"/>
  <c r="H18" i="1" s="1"/>
  <c r="C32" i="5"/>
  <c r="G24" i="2"/>
  <c r="O36"/>
  <c r="N30"/>
  <c r="H9" i="1" s="1"/>
  <c r="E91" i="12"/>
  <c r="Y91" s="1"/>
  <c r="D39" i="5"/>
  <c r="BC86" i="10"/>
  <c r="BC104" s="1"/>
  <c r="BS95" i="11"/>
  <c r="F95" i="12" s="1"/>
  <c r="Z95" s="1"/>
  <c r="J238" i="15"/>
  <c r="V150"/>
  <c r="S152"/>
  <c r="J132"/>
  <c r="K136"/>
  <c r="K132" s="1"/>
  <c r="I44" i="2"/>
  <c r="I42" s="1"/>
  <c r="P14" i="5"/>
  <c r="Q58" i="2"/>
  <c r="K28" i="1" s="1"/>
  <c r="S16" i="16"/>
  <c r="S235" i="15"/>
  <c r="T235" s="1"/>
  <c r="U235" s="1"/>
  <c r="O156"/>
  <c r="O126"/>
  <c r="AB105"/>
  <c r="I90"/>
  <c r="F250"/>
  <c r="S78"/>
  <c r="T78" s="1"/>
  <c r="U78" s="1"/>
  <c r="S64"/>
  <c r="T64" s="1"/>
  <c r="U64" s="1"/>
  <c r="S55"/>
  <c r="X53"/>
  <c r="S32"/>
  <c r="AB28"/>
  <c r="L250"/>
  <c r="L382" s="1"/>
  <c r="S25"/>
  <c r="X9"/>
  <c r="S277" i="14"/>
  <c r="T277" s="1"/>
  <c r="U277" s="1"/>
  <c r="X271"/>
  <c r="X291" s="1"/>
  <c r="S261"/>
  <c r="T261" s="1"/>
  <c r="U261" s="1"/>
  <c r="S248"/>
  <c r="T248" s="1"/>
  <c r="U248" s="1"/>
  <c r="S246"/>
  <c r="T246" s="1"/>
  <c r="U246" s="1"/>
  <c r="S223"/>
  <c r="G291"/>
  <c r="S131"/>
  <c r="J129"/>
  <c r="S127"/>
  <c r="O120"/>
  <c r="W120"/>
  <c r="W186" s="1"/>
  <c r="O102"/>
  <c r="O83"/>
  <c r="S72"/>
  <c r="S65" s="1"/>
  <c r="S49"/>
  <c r="T49" s="1"/>
  <c r="U49" s="1"/>
  <c r="S45"/>
  <c r="T45" s="1"/>
  <c r="U45" s="1"/>
  <c r="S41"/>
  <c r="Q87" i="12"/>
  <c r="Q105" s="1"/>
  <c r="Q106" s="1"/>
  <c r="U106" s="1"/>
  <c r="I113" i="14"/>
  <c r="J114"/>
  <c r="V45" i="12"/>
  <c r="G61" i="2"/>
  <c r="S392" i="15"/>
  <c r="S391"/>
  <c r="J385"/>
  <c r="J384" s="1"/>
  <c r="J413" s="1"/>
  <c r="S377"/>
  <c r="S239"/>
  <c r="T239" s="1"/>
  <c r="U239" s="1"/>
  <c r="X165"/>
  <c r="AB156"/>
  <c r="AB150"/>
  <c r="I150"/>
  <c r="J150"/>
  <c r="S140"/>
  <c r="W132"/>
  <c r="W126"/>
  <c r="O90"/>
  <c r="S68"/>
  <c r="T68" s="1"/>
  <c r="U68" s="1"/>
  <c r="O38"/>
  <c r="X28"/>
  <c r="I28"/>
  <c r="Z250"/>
  <c r="Z382" s="1"/>
  <c r="N250"/>
  <c r="S237" i="14"/>
  <c r="S166"/>
  <c r="O161"/>
  <c r="S60"/>
  <c r="O56"/>
  <c r="P105" i="12"/>
  <c r="Y149" i="14"/>
  <c r="Z150"/>
  <c r="V141"/>
  <c r="S143"/>
  <c r="J111"/>
  <c r="K111" s="1"/>
  <c r="K109" s="1"/>
  <c r="I109"/>
  <c r="J71" i="2"/>
  <c r="P71" s="1"/>
  <c r="V7" i="16"/>
  <c r="V24" s="1"/>
  <c r="X384" i="15"/>
  <c r="I376"/>
  <c r="V275"/>
  <c r="V380" s="1"/>
  <c r="W252"/>
  <c r="W273" s="1"/>
  <c r="I231"/>
  <c r="I224"/>
  <c r="O144"/>
  <c r="Q250"/>
  <c r="H250"/>
  <c r="H382" s="1"/>
  <c r="I65" i="14"/>
  <c r="X32"/>
  <c r="G186"/>
  <c r="G293" s="1"/>
  <c r="P16" i="2"/>
  <c r="J7" i="1" s="1"/>
  <c r="J167" i="15"/>
  <c r="I165"/>
  <c r="S142"/>
  <c r="T142" s="1"/>
  <c r="U142" s="1"/>
  <c r="V139"/>
  <c r="W271" i="14"/>
  <c r="W291" s="1"/>
  <c r="S276"/>
  <c r="I158"/>
  <c r="J158" s="1"/>
  <c r="K158" s="1"/>
  <c r="O155"/>
  <c r="J157"/>
  <c r="X90"/>
  <c r="S91"/>
  <c r="K91"/>
  <c r="K90" s="1"/>
  <c r="J90"/>
  <c r="I56" i="2"/>
  <c r="C96" i="12"/>
  <c r="W96" s="1"/>
  <c r="Y48"/>
  <c r="K8" i="16"/>
  <c r="K7" s="1"/>
  <c r="K24" s="1"/>
  <c r="S21"/>
  <c r="T21" s="1"/>
  <c r="U21" s="1"/>
  <c r="AA21" s="1"/>
  <c r="X21" s="1"/>
  <c r="Y21" s="1"/>
  <c r="Z21" s="1"/>
  <c r="B50" i="12"/>
  <c r="V50" s="1"/>
  <c r="G15" i="2"/>
  <c r="X105" i="15"/>
  <c r="R250"/>
  <c r="R382" s="1"/>
  <c r="M250"/>
  <c r="Y222" i="14"/>
  <c r="Y291" s="1"/>
  <c r="Y293" s="1"/>
  <c r="F291"/>
  <c r="O188"/>
  <c r="O220" s="1"/>
  <c r="W155"/>
  <c r="X120"/>
  <c r="O96"/>
  <c r="R186"/>
  <c r="R293" s="1"/>
  <c r="F186"/>
  <c r="G106" i="12"/>
  <c r="K106" s="1"/>
  <c r="N107" i="11"/>
  <c r="BL107" s="1"/>
  <c r="AC250" i="15"/>
  <c r="AC382" s="1"/>
  <c r="O149" i="14"/>
  <c r="O9"/>
  <c r="L35" i="1"/>
  <c r="T94" i="12"/>
  <c r="T78"/>
  <c r="T86" s="1"/>
  <c r="T87" s="1"/>
  <c r="T38"/>
  <c r="T45" s="1"/>
  <c r="T46" s="1"/>
  <c r="T61" s="1"/>
  <c r="X10"/>
  <c r="W99"/>
  <c r="R86" i="11"/>
  <c r="R87" s="1"/>
  <c r="R105" s="1"/>
  <c r="R107" s="1"/>
  <c r="BQ73"/>
  <c r="X71" i="12"/>
  <c r="X70"/>
  <c r="X66"/>
  <c r="BO65" i="11"/>
  <c r="X56" i="12"/>
  <c r="X54"/>
  <c r="BM54" i="11"/>
  <c r="AV61"/>
  <c r="AV107" s="1"/>
  <c r="I36" i="5"/>
  <c r="O36" s="1"/>
  <c r="BM38" i="11"/>
  <c r="BO106" i="10"/>
  <c r="AL106"/>
  <c r="CU106"/>
  <c r="CV106" s="1"/>
  <c r="CE106"/>
  <c r="CA106"/>
  <c r="BK106"/>
  <c r="O46" i="5"/>
  <c r="I45"/>
  <c r="O45" s="1"/>
  <c r="S113" i="15"/>
  <c r="S112" s="1"/>
  <c r="V9"/>
  <c r="V161" i="14"/>
  <c r="K130"/>
  <c r="K129" s="1"/>
  <c r="V83"/>
  <c r="F35" i="1"/>
  <c r="E48" i="12"/>
  <c r="X72"/>
  <c r="BP65" i="11"/>
  <c r="AX60"/>
  <c r="AX61" s="1"/>
  <c r="AO60"/>
  <c r="AO61" s="1"/>
  <c r="X15" i="12"/>
  <c r="Y15" s="1"/>
  <c r="AZ106" i="10"/>
  <c r="BD106" s="1"/>
  <c r="AF106"/>
  <c r="AJ106" s="1"/>
  <c r="DP53"/>
  <c r="DP49"/>
  <c r="BR50" i="11" s="1"/>
  <c r="E50" i="12" s="1"/>
  <c r="Y50" s="1"/>
  <c r="W49"/>
  <c r="G106" i="10"/>
  <c r="W88" i="12"/>
  <c r="BS15" i="11"/>
  <c r="F15" i="12" s="1"/>
  <c r="Z15" s="1"/>
  <c r="DP54" i="10"/>
  <c r="BR55" i="11" s="1"/>
  <c r="CI106" i="10"/>
  <c r="CM106" s="1"/>
  <c r="D28" i="12"/>
  <c r="X28" s="1"/>
  <c r="J19" i="5"/>
  <c r="S133" i="15"/>
  <c r="AA250"/>
  <c r="AA382" s="1"/>
  <c r="D88" i="12"/>
  <c r="X68"/>
  <c r="W54"/>
  <c r="V51"/>
  <c r="BM51" i="11"/>
  <c r="AT60"/>
  <c r="AT61" s="1"/>
  <c r="V23" i="12"/>
  <c r="CO106" i="10"/>
  <c r="BZ106"/>
  <c r="AP106"/>
  <c r="AH106"/>
  <c r="AI106" s="1"/>
  <c r="S106"/>
  <c r="T106" s="1"/>
  <c r="DF9"/>
  <c r="DN9"/>
  <c r="BG82" i="9"/>
  <c r="P90"/>
  <c r="G379" i="3"/>
  <c r="K379" s="1"/>
  <c r="I370"/>
  <c r="I379" s="1"/>
  <c r="K370"/>
  <c r="J53" i="5"/>
  <c r="P53" s="1"/>
  <c r="BR59" i="11"/>
  <c r="K53" i="5" s="1"/>
  <c r="BN11" i="11"/>
  <c r="BS11" s="1"/>
  <c r="BN10"/>
  <c r="BS10" s="1"/>
  <c r="BN8"/>
  <c r="DG95" i="10"/>
  <c r="DG103" s="1"/>
  <c r="BJ104"/>
  <c r="BJ106" s="1"/>
  <c r="DC106" s="1"/>
  <c r="DC85"/>
  <c r="DC86" s="1"/>
  <c r="DC104" s="1"/>
  <c r="DG83"/>
  <c r="BI83"/>
  <c r="BI82"/>
  <c r="BI74"/>
  <c r="DQ74" s="1"/>
  <c r="BS75" i="11" s="1"/>
  <c r="L31" i="2" s="1"/>
  <c r="R31" s="1"/>
  <c r="BI69" i="10"/>
  <c r="DQ69" s="1"/>
  <c r="BS70" i="11" s="1"/>
  <c r="F70" i="12" s="1"/>
  <c r="Z70" s="1"/>
  <c r="CV59" i="10"/>
  <c r="CV60" s="1"/>
  <c r="DG56"/>
  <c r="DG55"/>
  <c r="DG53"/>
  <c r="DD59"/>
  <c r="DD60" s="1"/>
  <c r="DG50"/>
  <c r="BI50"/>
  <c r="BI48"/>
  <c r="AQ45"/>
  <c r="AQ60" s="1"/>
  <c r="AQ106" s="1"/>
  <c r="BI43"/>
  <c r="DF42"/>
  <c r="DP42" s="1"/>
  <c r="BR43" i="11" s="1"/>
  <c r="DF41" i="10"/>
  <c r="DP41" s="1"/>
  <c r="BR42" i="11" s="1"/>
  <c r="BI41" i="10"/>
  <c r="DG40"/>
  <c r="DG39"/>
  <c r="BI38"/>
  <c r="DF36"/>
  <c r="DP36" s="1"/>
  <c r="BR37" i="11" s="1"/>
  <c r="DF35" i="10"/>
  <c r="DP35" s="1"/>
  <c r="BI32"/>
  <c r="BI27"/>
  <c r="DG26"/>
  <c r="BH25"/>
  <c r="DP25" s="1"/>
  <c r="BR26" i="11" s="1"/>
  <c r="AN34" i="10"/>
  <c r="AN45" s="1"/>
  <c r="AN60" s="1"/>
  <c r="AK110" i="9"/>
  <c r="AK112" s="1"/>
  <c r="AO112" s="1"/>
  <c r="M110"/>
  <c r="BD90"/>
  <c r="BD91" s="1"/>
  <c r="BD110" s="1"/>
  <c r="J90"/>
  <c r="J91" s="1"/>
  <c r="AT90"/>
  <c r="AT91" s="1"/>
  <c r="AT110" s="1"/>
  <c r="AD90"/>
  <c r="BA110"/>
  <c r="BE81"/>
  <c r="AN81"/>
  <c r="BF81" s="1"/>
  <c r="AY64"/>
  <c r="T64"/>
  <c r="AX50"/>
  <c r="AX65" s="1"/>
  <c r="Z65"/>
  <c r="Z112" s="1"/>
  <c r="V50"/>
  <c r="V65" s="1"/>
  <c r="V112" s="1"/>
  <c r="AT49"/>
  <c r="AT50" s="1"/>
  <c r="AT65" s="1"/>
  <c r="AV112"/>
  <c r="BF28"/>
  <c r="BC39"/>
  <c r="BC50" s="1"/>
  <c r="BC65" s="1"/>
  <c r="AS39"/>
  <c r="AS50" s="1"/>
  <c r="AS65" s="1"/>
  <c r="BF104" i="8"/>
  <c r="BF105" s="1"/>
  <c r="H105"/>
  <c r="BY86"/>
  <c r="BY87" s="1"/>
  <c r="CA63"/>
  <c r="AI60"/>
  <c r="AI61" s="1"/>
  <c r="AI106" s="1"/>
  <c r="Y60"/>
  <c r="Y61" s="1"/>
  <c r="Y106" s="1"/>
  <c r="BZ55"/>
  <c r="BZ60" s="1"/>
  <c r="AK61"/>
  <c r="AK106" s="1"/>
  <c r="BZ42"/>
  <c r="BZ45" s="1"/>
  <c r="BJ61"/>
  <c r="BJ106" s="1"/>
  <c r="C106"/>
  <c r="B46" i="7"/>
  <c r="B61" s="1"/>
  <c r="B106" s="1"/>
  <c r="H531" i="6"/>
  <c r="J311" i="3"/>
  <c r="J321" s="1"/>
  <c r="BF43" i="9"/>
  <c r="E33" i="5" s="1"/>
  <c r="E32" s="1"/>
  <c r="AD49" i="9"/>
  <c r="CA62" i="8"/>
  <c r="CA77" s="1"/>
  <c r="CA87" s="1"/>
  <c r="CA105" s="1"/>
  <c r="F77"/>
  <c r="F87" s="1"/>
  <c r="F105" s="1"/>
  <c r="X53" i="12"/>
  <c r="W18"/>
  <c r="DG96" i="10"/>
  <c r="DO92"/>
  <c r="BN104"/>
  <c r="BI84"/>
  <c r="BI81"/>
  <c r="DG78"/>
  <c r="BI78"/>
  <c r="BI77"/>
  <c r="BI68"/>
  <c r="DQ68" s="1"/>
  <c r="BS69" i="11" s="1"/>
  <c r="BI67" i="10"/>
  <c r="DQ67" s="1"/>
  <c r="BS68" i="11" s="1"/>
  <c r="BI66" i="10"/>
  <c r="DQ66" s="1"/>
  <c r="BS67" i="11" s="1"/>
  <c r="F67" i="12" s="1"/>
  <c r="Z67" s="1"/>
  <c r="BI63" i="10"/>
  <c r="DE59"/>
  <c r="DE60" s="1"/>
  <c r="BI57"/>
  <c r="DG54"/>
  <c r="BI54"/>
  <c r="BI49"/>
  <c r="DG48"/>
  <c r="DN47"/>
  <c r="D60"/>
  <c r="D106" s="1"/>
  <c r="DG43"/>
  <c r="DF38"/>
  <c r="DP38" s="1"/>
  <c r="BR39" i="11" s="1"/>
  <c r="DF37" i="10"/>
  <c r="DP37" s="1"/>
  <c r="BI36"/>
  <c r="DQ36" s="1"/>
  <c r="BS37" i="11" s="1"/>
  <c r="BH31" i="10"/>
  <c r="DP31" s="1"/>
  <c r="BR32" i="11" s="1"/>
  <c r="DF29" i="10"/>
  <c r="DP29" s="1"/>
  <c r="BR30" i="11" s="1"/>
  <c r="BI28" i="10"/>
  <c r="DN24"/>
  <c r="DF23"/>
  <c r="DP23" s="1"/>
  <c r="BR24" i="11" s="1"/>
  <c r="DG18" i="10"/>
  <c r="AL91" i="9"/>
  <c r="AL110" s="1"/>
  <c r="I110"/>
  <c r="I112" s="1"/>
  <c r="BE90"/>
  <c r="BE91" s="1"/>
  <c r="BE110" s="1"/>
  <c r="BF80"/>
  <c r="E32" i="2" s="1"/>
  <c r="BF79" i="9"/>
  <c r="E75" i="12" s="1"/>
  <c r="Y75" s="1"/>
  <c r="BF70" i="9"/>
  <c r="E66" i="12" s="1"/>
  <c r="Y66" s="1"/>
  <c r="BF59" i="9"/>
  <c r="BE64"/>
  <c r="AA50"/>
  <c r="AA65" s="1"/>
  <c r="AA112" s="1"/>
  <c r="M50"/>
  <c r="M65" s="1"/>
  <c r="M112" s="1"/>
  <c r="M39"/>
  <c r="BF34"/>
  <c r="AO39"/>
  <c r="AO50" s="1"/>
  <c r="AO65" s="1"/>
  <c r="T39"/>
  <c r="BG8"/>
  <c r="BZ99" i="8"/>
  <c r="AD104"/>
  <c r="AD105" s="1"/>
  <c r="AD106" s="1"/>
  <c r="AJ105"/>
  <c r="AJ106" s="1"/>
  <c r="D105"/>
  <c r="BD105"/>
  <c r="BD106" s="1"/>
  <c r="BZ71"/>
  <c r="BZ64"/>
  <c r="AO105"/>
  <c r="AO106" s="1"/>
  <c r="BH106"/>
  <c r="BS61"/>
  <c r="BS106" s="1"/>
  <c r="BO61"/>
  <c r="BO106" s="1"/>
  <c r="AG46"/>
  <c r="AG61" s="1"/>
  <c r="AG106" s="1"/>
  <c r="I108" i="6"/>
  <c r="I146" s="1"/>
  <c r="DF8" i="10"/>
  <c r="DG8"/>
  <c r="DN8"/>
  <c r="AS86" i="7"/>
  <c r="AS87" s="1"/>
  <c r="AS105" s="1"/>
  <c r="CG79"/>
  <c r="X18" i="12"/>
  <c r="V8"/>
  <c r="DG84" i="10"/>
  <c r="DG82"/>
  <c r="DG80"/>
  <c r="BI80"/>
  <c r="DQ80" s="1"/>
  <c r="BS81" i="11" s="1"/>
  <c r="DG79" i="10"/>
  <c r="DQ79" s="1"/>
  <c r="BS80" i="11" s="1"/>
  <c r="BL104" i="10"/>
  <c r="BL106" s="1"/>
  <c r="DE106" s="1"/>
  <c r="BI75"/>
  <c r="DQ75" s="1"/>
  <c r="BS76" i="11" s="1"/>
  <c r="BI73" i="10"/>
  <c r="DQ73" s="1"/>
  <c r="BS74" i="11" s="1"/>
  <c r="F74" i="12" s="1"/>
  <c r="Z74" s="1"/>
  <c r="BI71" i="10"/>
  <c r="DQ71" s="1"/>
  <c r="BS72" i="11" s="1"/>
  <c r="F72" i="12" s="1"/>
  <c r="Z72" s="1"/>
  <c r="BI70" i="10"/>
  <c r="DQ70" s="1"/>
  <c r="BS71" i="11" s="1"/>
  <c r="F71" i="12" s="1"/>
  <c r="Z71" s="1"/>
  <c r="BI65" i="10"/>
  <c r="DQ65" s="1"/>
  <c r="BS66" i="11" s="1"/>
  <c r="F66" i="12" s="1"/>
  <c r="Z66" s="1"/>
  <c r="BI64" i="10"/>
  <c r="DQ64" s="1"/>
  <c r="BS65" i="11" s="1"/>
  <c r="BI56" i="10"/>
  <c r="DQ56" s="1"/>
  <c r="BS57" i="11" s="1"/>
  <c r="DG52" i="10"/>
  <c r="BI52"/>
  <c r="DG51"/>
  <c r="BI51"/>
  <c r="DG49"/>
  <c r="BP60"/>
  <c r="BP106" s="1"/>
  <c r="AM60"/>
  <c r="AM106" s="1"/>
  <c r="H60"/>
  <c r="H106" s="1"/>
  <c r="DG42"/>
  <c r="BI42"/>
  <c r="DQ42" s="1"/>
  <c r="BS43" i="11" s="1"/>
  <c r="DG41" i="10"/>
  <c r="BI40"/>
  <c r="DQ40" s="1"/>
  <c r="BS41" i="11" s="1"/>
  <c r="L35" i="5" s="1"/>
  <c r="DF39" i="10"/>
  <c r="DP39" s="1"/>
  <c r="BR40" i="11" s="1"/>
  <c r="DG35" i="10"/>
  <c r="BI33"/>
  <c r="DQ33" s="1"/>
  <c r="BS34" i="11" s="1"/>
  <c r="BI31" i="10"/>
  <c r="DG30"/>
  <c r="DQ30"/>
  <c r="BS31" i="11" s="1"/>
  <c r="DP26" i="10"/>
  <c r="BR27" i="11" s="1"/>
  <c r="AF110" i="9"/>
  <c r="AF112" s="1"/>
  <c r="AJ112" s="1"/>
  <c r="T50"/>
  <c r="T65" s="1"/>
  <c r="Q22" i="5"/>
  <c r="BZ102" i="8"/>
  <c r="AV77"/>
  <c r="AV87" s="1"/>
  <c r="AV105" s="1"/>
  <c r="BZ63"/>
  <c r="AU106"/>
  <c r="F106"/>
  <c r="Y86" i="7"/>
  <c r="Y87" s="1"/>
  <c r="Y105" s="1"/>
  <c r="Y35"/>
  <c r="Y46" s="1"/>
  <c r="Y61" s="1"/>
  <c r="Y106" s="1"/>
  <c r="I199" i="3"/>
  <c r="I214" s="1"/>
  <c r="I216" s="1"/>
  <c r="BG29" i="9"/>
  <c r="F14" i="5" s="1"/>
  <c r="AE39" i="9"/>
  <c r="AE50" s="1"/>
  <c r="BP29" i="11"/>
  <c r="BK21"/>
  <c r="BN9"/>
  <c r="BI96" i="10"/>
  <c r="DQ96" s="1"/>
  <c r="BS97" i="11" s="1"/>
  <c r="BI95" i="10"/>
  <c r="DQ95" s="1"/>
  <c r="BS96" i="11" s="1"/>
  <c r="L56" i="2" s="1"/>
  <c r="DG81" i="10"/>
  <c r="DG77"/>
  <c r="DG57"/>
  <c r="BI55"/>
  <c r="DQ55" s="1"/>
  <c r="BS56" i="11" s="1"/>
  <c r="BI53" i="10"/>
  <c r="DQ53" s="1"/>
  <c r="BS54" i="11" s="1"/>
  <c r="F54" i="12" s="1"/>
  <c r="Z54" s="1"/>
  <c r="DF43" i="10"/>
  <c r="DP43" s="1"/>
  <c r="BR44" i="11" s="1"/>
  <c r="BI39" i="10"/>
  <c r="DQ39" s="1"/>
  <c r="BS40" i="11" s="1"/>
  <c r="DG38" i="10"/>
  <c r="DG37"/>
  <c r="BI37"/>
  <c r="DO36"/>
  <c r="DO44" s="1"/>
  <c r="DO30"/>
  <c r="DO34" s="1"/>
  <c r="DG29"/>
  <c r="BI26"/>
  <c r="DQ26" s="1"/>
  <c r="BS27" i="11" s="1"/>
  <c r="F27" i="12" s="1"/>
  <c r="Z27" s="1"/>
  <c r="AX34" i="10"/>
  <c r="AX45" s="1"/>
  <c r="AX60" s="1"/>
  <c r="BH20"/>
  <c r="E34"/>
  <c r="E45" s="1"/>
  <c r="E60" s="1"/>
  <c r="BC109" i="9"/>
  <c r="BC110" s="1"/>
  <c r="J109"/>
  <c r="AU110"/>
  <c r="AU112" s="1"/>
  <c r="BF78"/>
  <c r="E74" i="12" s="1"/>
  <c r="Y74" s="1"/>
  <c r="BF69" i="9"/>
  <c r="E65" i="12" s="1"/>
  <c r="Y65" s="1"/>
  <c r="AX81" i="9"/>
  <c r="AX91" s="1"/>
  <c r="AX110" s="1"/>
  <c r="BF58"/>
  <c r="E64"/>
  <c r="BD64"/>
  <c r="BD65" s="1"/>
  <c r="AW65"/>
  <c r="AW112" s="1"/>
  <c r="AY49"/>
  <c r="AY50" s="1"/>
  <c r="AY65" s="1"/>
  <c r="AJ65"/>
  <c r="BF31"/>
  <c r="BE39"/>
  <c r="BE50" s="1"/>
  <c r="BE65" s="1"/>
  <c r="BU104" i="8"/>
  <c r="BU105" s="1"/>
  <c r="BA104"/>
  <c r="BA105" s="1"/>
  <c r="BY104"/>
  <c r="B87"/>
  <c r="B105" s="1"/>
  <c r="B106" s="1"/>
  <c r="BZ75"/>
  <c r="BP60"/>
  <c r="BP61" s="1"/>
  <c r="BP106" s="1"/>
  <c r="BA60"/>
  <c r="BA61" s="1"/>
  <c r="AE106"/>
  <c r="H106"/>
  <c r="AT106"/>
  <c r="CG66" i="7"/>
  <c r="E13" i="2" s="1"/>
  <c r="CG59" i="7"/>
  <c r="CG60" s="1"/>
  <c r="AM106"/>
  <c r="AF46"/>
  <c r="AF61" s="1"/>
  <c r="AF106" s="1"/>
  <c r="F10" i="5"/>
  <c r="AA46" i="4"/>
  <c r="AA48" s="1"/>
  <c r="AB39"/>
  <c r="AB41" s="1"/>
  <c r="AB47" s="1"/>
  <c r="AB48" s="1"/>
  <c r="CA30" i="8"/>
  <c r="CA35" s="1"/>
  <c r="CA46" s="1"/>
  <c r="CA61" s="1"/>
  <c r="CA106" s="1"/>
  <c r="U35"/>
  <c r="J199" i="6"/>
  <c r="G387"/>
  <c r="H164"/>
  <c r="I161"/>
  <c r="I164" s="1"/>
  <c r="Z39" i="4"/>
  <c r="Z41" s="1"/>
  <c r="Z47" s="1"/>
  <c r="Q41"/>
  <c r="Q47" s="1"/>
  <c r="Q48" s="1"/>
  <c r="DG32" i="10"/>
  <c r="DG31"/>
  <c r="DG27"/>
  <c r="DG23"/>
  <c r="BI23"/>
  <c r="DG22"/>
  <c r="DG20"/>
  <c r="DQ20" s="1"/>
  <c r="BS21" i="11" s="1"/>
  <c r="BI19" i="10"/>
  <c r="AF61" i="8"/>
  <c r="AF106" s="1"/>
  <c r="U46"/>
  <c r="U61" s="1"/>
  <c r="U106" s="1"/>
  <c r="BF35"/>
  <c r="BF46" s="1"/>
  <c r="BF61" s="1"/>
  <c r="F56" i="2"/>
  <c r="CC87" i="7"/>
  <c r="CC105" s="1"/>
  <c r="CC106" s="1"/>
  <c r="AM87"/>
  <c r="AM105" s="1"/>
  <c r="V105"/>
  <c r="V106" s="1"/>
  <c r="R105"/>
  <c r="R106" s="1"/>
  <c r="BX87"/>
  <c r="BX105" s="1"/>
  <c r="BX106" s="1"/>
  <c r="BI86"/>
  <c r="BI87" s="1"/>
  <c r="BI105" s="1"/>
  <c r="BI106" s="1"/>
  <c r="K105"/>
  <c r="K106" s="1"/>
  <c r="AW106"/>
  <c r="CG42"/>
  <c r="AK106"/>
  <c r="G19" i="5"/>
  <c r="BM35" i="7"/>
  <c r="BM46" s="1"/>
  <c r="BM61" s="1"/>
  <c r="AS35"/>
  <c r="AS46" s="1"/>
  <c r="AS61" s="1"/>
  <c r="AS106" s="1"/>
  <c r="CG20"/>
  <c r="E20" i="12" s="1"/>
  <c r="J501" i="6"/>
  <c r="S18" i="2"/>
  <c r="J48" i="4"/>
  <c r="P29"/>
  <c r="P45" s="1"/>
  <c r="I53" i="3"/>
  <c r="K53" s="1"/>
  <c r="H30"/>
  <c r="F99" i="12"/>
  <c r="Z99" s="1"/>
  <c r="J35" i="8"/>
  <c r="J46" s="1"/>
  <c r="J61" s="1"/>
  <c r="J106" s="1"/>
  <c r="BZ20"/>
  <c r="BI25" i="10"/>
  <c r="DQ25" s="1"/>
  <c r="BS26" i="11" s="1"/>
  <c r="DG24" i="10"/>
  <c r="DQ24" s="1"/>
  <c r="BS25" i="11" s="1"/>
  <c r="BI22" i="10"/>
  <c r="DQ22" s="1"/>
  <c r="BS23" i="11" s="1"/>
  <c r="DG19" i="10"/>
  <c r="V46" i="8"/>
  <c r="V61" s="1"/>
  <c r="V106" s="1"/>
  <c r="L61"/>
  <c r="L106" s="1"/>
  <c r="D61"/>
  <c r="D106" s="1"/>
  <c r="CG97" i="7"/>
  <c r="E57" i="2" s="1"/>
  <c r="G57" s="1"/>
  <c r="O104" i="7"/>
  <c r="O105" s="1"/>
  <c r="O106" s="1"/>
  <c r="T86"/>
  <c r="T87" s="1"/>
  <c r="T105" s="1"/>
  <c r="T106" s="1"/>
  <c r="CF86"/>
  <c r="CF87" s="1"/>
  <c r="CF105" s="1"/>
  <c r="CF106" s="1"/>
  <c r="BM86"/>
  <c r="BM87" s="1"/>
  <c r="BM105" s="1"/>
  <c r="CG72"/>
  <c r="E27" i="2" s="1"/>
  <c r="BU106" i="7"/>
  <c r="I106"/>
  <c r="AE46"/>
  <c r="AE61" s="1"/>
  <c r="W61"/>
  <c r="W106" s="1"/>
  <c r="CG26"/>
  <c r="E17" i="5" s="1"/>
  <c r="B14"/>
  <c r="B13" s="1"/>
  <c r="D12"/>
  <c r="P12" s="1"/>
  <c r="D7" i="1" s="1"/>
  <c r="J164" i="6"/>
  <c r="Z46" i="4"/>
  <c r="U48"/>
  <c r="F48"/>
  <c r="J209" i="3"/>
  <c r="J214" s="1"/>
  <c r="J337" s="1"/>
  <c r="F216"/>
  <c r="F30"/>
  <c r="F101" i="12"/>
  <c r="Z101" s="1"/>
  <c r="BS102" i="11"/>
  <c r="Z86" i="7"/>
  <c r="Z87" s="1"/>
  <c r="Z105" s="1"/>
  <c r="CH79"/>
  <c r="CH78"/>
  <c r="AE86"/>
  <c r="AE87" s="1"/>
  <c r="AE105" s="1"/>
  <c r="CD77"/>
  <c r="CD87" s="1"/>
  <c r="CD105" s="1"/>
  <c r="CD106" s="1"/>
  <c r="B14" i="2"/>
  <c r="AI45" i="7"/>
  <c r="AI46" s="1"/>
  <c r="AI61" s="1"/>
  <c r="AI106" s="1"/>
  <c r="CG37"/>
  <c r="U104"/>
  <c r="U105" s="1"/>
  <c r="U106" s="1"/>
  <c r="CH102"/>
  <c r="BI35" i="10"/>
  <c r="BI29"/>
  <c r="DQ29" s="1"/>
  <c r="BS30" i="11" s="1"/>
  <c r="DG28" i="10"/>
  <c r="BI18"/>
  <c r="E77" i="8"/>
  <c r="E87" s="1"/>
  <c r="E105" s="1"/>
  <c r="E106" s="1"/>
  <c r="N61"/>
  <c r="N106" s="1"/>
  <c r="BY45"/>
  <c r="BY46" s="1"/>
  <c r="BY61" s="1"/>
  <c r="AV45"/>
  <c r="AV46" s="1"/>
  <c r="AV61" s="1"/>
  <c r="AV106" s="1"/>
  <c r="BU45"/>
  <c r="BU46" s="1"/>
  <c r="BU61" s="1"/>
  <c r="BU106" s="1"/>
  <c r="BZ24"/>
  <c r="D61" i="2"/>
  <c r="F58"/>
  <c r="R58" s="1"/>
  <c r="S58" s="1"/>
  <c r="CG96" i="7"/>
  <c r="E104"/>
  <c r="E105" s="1"/>
  <c r="E106" s="1"/>
  <c r="CG80"/>
  <c r="E38" i="2" s="1"/>
  <c r="E37" s="1"/>
  <c r="CG78" i="7"/>
  <c r="CG65"/>
  <c r="CG77" s="1"/>
  <c r="AX77"/>
  <c r="AX87" s="1"/>
  <c r="AX105" s="1"/>
  <c r="AX106" s="1"/>
  <c r="BQ106"/>
  <c r="Q106"/>
  <c r="BA61"/>
  <c r="BA106" s="1"/>
  <c r="AQ61"/>
  <c r="AQ106" s="1"/>
  <c r="AG61"/>
  <c r="AG106" s="1"/>
  <c r="Z46"/>
  <c r="Z61" s="1"/>
  <c r="Z106" s="1"/>
  <c r="BR45"/>
  <c r="BR46" s="1"/>
  <c r="BR61" s="1"/>
  <c r="BR106" s="1"/>
  <c r="CG32"/>
  <c r="F12" i="5"/>
  <c r="B12"/>
  <c r="C465" i="6"/>
  <c r="J166"/>
  <c r="G166"/>
  <c r="I26"/>
  <c r="I54" s="1"/>
  <c r="L59" i="2"/>
  <c r="W68" i="4"/>
  <c r="J138" i="3"/>
  <c r="J164" s="1"/>
  <c r="J336" s="1"/>
  <c r="BS100" i="11"/>
  <c r="F100" i="12" s="1"/>
  <c r="Z100" s="1"/>
  <c r="CG8" i="7"/>
  <c r="F8"/>
  <c r="CH8" s="1"/>
  <c r="F30" i="5"/>
  <c r="F11" i="7"/>
  <c r="CH11" s="1"/>
  <c r="CG11"/>
  <c r="E11" i="12" s="1"/>
  <c r="F10" i="7"/>
  <c r="CH10" s="1"/>
  <c r="CG10"/>
  <c r="CG9"/>
  <c r="F9"/>
  <c r="CH9" s="1"/>
  <c r="R27" i="2"/>
  <c r="J323" i="3"/>
  <c r="Z90" i="12"/>
  <c r="K55" i="2"/>
  <c r="C104" i="12"/>
  <c r="W90"/>
  <c r="Y90" s="1"/>
  <c r="Z92"/>
  <c r="D25" i="2"/>
  <c r="C66"/>
  <c r="O56"/>
  <c r="O43" i="5"/>
  <c r="I42"/>
  <c r="K43"/>
  <c r="I38" i="2"/>
  <c r="C80" i="12"/>
  <c r="J31" i="2"/>
  <c r="D75" i="12"/>
  <c r="X75" s="1"/>
  <c r="I12" i="2"/>
  <c r="BP77" i="11"/>
  <c r="C65" i="12"/>
  <c r="F49" i="2"/>
  <c r="E49"/>
  <c r="I25" i="1"/>
  <c r="C30"/>
  <c r="C32" s="1"/>
  <c r="K49" i="2"/>
  <c r="N43" i="5"/>
  <c r="E28" i="12"/>
  <c r="Y28" s="1"/>
  <c r="K19" i="5"/>
  <c r="H67" i="2"/>
  <c r="N67" s="1"/>
  <c r="I30" i="5"/>
  <c r="C36" i="12"/>
  <c r="P32" i="2"/>
  <c r="D30"/>
  <c r="D20" i="12"/>
  <c r="J11" i="5"/>
  <c r="C40" i="12"/>
  <c r="W40" s="1"/>
  <c r="I34" i="5"/>
  <c r="R56" i="2"/>
  <c r="M56"/>
  <c r="F37" i="12"/>
  <c r="Z37" s="1"/>
  <c r="BQ86" i="11"/>
  <c r="D79" i="12"/>
  <c r="X79" s="1"/>
  <c r="C69"/>
  <c r="W69" s="1"/>
  <c r="I16" i="2"/>
  <c r="O16" s="1"/>
  <c r="I7" i="1" s="1"/>
  <c r="C68" i="12"/>
  <c r="W68" s="1"/>
  <c r="I15" i="2"/>
  <c r="O15" s="1"/>
  <c r="E80" i="12"/>
  <c r="Y80" s="1"/>
  <c r="K38" i="2"/>
  <c r="E19" i="12"/>
  <c r="Y19" s="1"/>
  <c r="I52" i="2"/>
  <c r="L54"/>
  <c r="R54" s="1"/>
  <c r="O50"/>
  <c r="K50"/>
  <c r="O51"/>
  <c r="K51"/>
  <c r="K10"/>
  <c r="D59"/>
  <c r="P62"/>
  <c r="F37"/>
  <c r="J11"/>
  <c r="D64" i="12"/>
  <c r="BQ77" i="11"/>
  <c r="D84" i="12"/>
  <c r="X84" s="1"/>
  <c r="J43" i="2"/>
  <c r="H53"/>
  <c r="B93" i="12"/>
  <c r="V93" s="1"/>
  <c r="I11" i="5"/>
  <c r="C20" i="12"/>
  <c r="W20" s="1"/>
  <c r="Y47"/>
  <c r="D43"/>
  <c r="X43" s="1"/>
  <c r="J37" i="5"/>
  <c r="P37" s="1"/>
  <c r="H51"/>
  <c r="N51" s="1"/>
  <c r="B57" i="12"/>
  <c r="V57" s="1"/>
  <c r="J40" i="2"/>
  <c r="P40" s="1"/>
  <c r="D82" i="12"/>
  <c r="X82" s="1"/>
  <c r="BR10" i="11"/>
  <c r="E10" i="12" s="1"/>
  <c r="F10"/>
  <c r="Z10" s="1"/>
  <c r="C10"/>
  <c r="W10" s="1"/>
  <c r="Y10" s="1"/>
  <c r="P41" i="2"/>
  <c r="D37"/>
  <c r="N41"/>
  <c r="B37"/>
  <c r="I16" i="1"/>
  <c r="BQ60" i="11"/>
  <c r="BP86"/>
  <c r="BP87" s="1"/>
  <c r="BP105" s="1"/>
  <c r="E31" i="12"/>
  <c r="Y31" s="1"/>
  <c r="P69" i="2"/>
  <c r="O42"/>
  <c r="I18" i="1" s="1"/>
  <c r="H55" i="2"/>
  <c r="N55" s="1"/>
  <c r="H26" i="1" s="1"/>
  <c r="D11" i="12"/>
  <c r="X11" s="1"/>
  <c r="Y11" s="1"/>
  <c r="F96"/>
  <c r="Z96" s="1"/>
  <c r="B45"/>
  <c r="L43" i="5"/>
  <c r="BO60" i="11"/>
  <c r="N50" i="2"/>
  <c r="Y18" i="12"/>
  <c r="R25" i="2"/>
  <c r="L31" i="5"/>
  <c r="H48"/>
  <c r="N48" s="1"/>
  <c r="B26" i="1" s="1"/>
  <c r="K40" i="2"/>
  <c r="E67"/>
  <c r="B39" i="5"/>
  <c r="Q42" i="2"/>
  <c r="K18" i="1" s="1"/>
  <c r="C59" i="2"/>
  <c r="E76" i="12"/>
  <c r="Y76" s="1"/>
  <c r="BO35" i="11"/>
  <c r="H23" i="5"/>
  <c r="N23" s="1"/>
  <c r="S14" i="2"/>
  <c r="N30" i="5"/>
  <c r="B56" i="12"/>
  <c r="V56" s="1"/>
  <c r="V52"/>
  <c r="H17" i="5"/>
  <c r="N17" s="1"/>
  <c r="B9" i="1" s="1"/>
  <c r="F41" i="12"/>
  <c r="Z41" s="1"/>
  <c r="F75"/>
  <c r="Z75" s="1"/>
  <c r="J47" i="5"/>
  <c r="H46"/>
  <c r="O30" i="2"/>
  <c r="I9" i="1" s="1"/>
  <c r="B25" i="2"/>
  <c r="E103" i="12"/>
  <c r="W103"/>
  <c r="Y103" s="1"/>
  <c r="X59"/>
  <c r="Y59" s="1"/>
  <c r="E59"/>
  <c r="Q10" i="5"/>
  <c r="K9"/>
  <c r="P30"/>
  <c r="J37" i="2"/>
  <c r="P38"/>
  <c r="O40"/>
  <c r="C37"/>
  <c r="N56"/>
  <c r="B66"/>
  <c r="H16" i="5"/>
  <c r="B24" i="12"/>
  <c r="V24" s="1"/>
  <c r="H51" i="2"/>
  <c r="H49" s="1"/>
  <c r="B91" i="12"/>
  <c r="N19" i="5"/>
  <c r="J44" i="2"/>
  <c r="P44" s="1"/>
  <c r="D85" i="12"/>
  <c r="X85" s="1"/>
  <c r="J36" i="5"/>
  <c r="D42" i="12"/>
  <c r="X42" s="1"/>
  <c r="C30"/>
  <c r="W30" s="1"/>
  <c r="I21" i="5"/>
  <c r="O21" s="1"/>
  <c r="P19"/>
  <c r="D94" i="12"/>
  <c r="X94" s="1"/>
  <c r="J54" i="2"/>
  <c r="H39"/>
  <c r="B81" i="12"/>
  <c r="V81" s="1"/>
  <c r="V86" s="1"/>
  <c r="B65"/>
  <c r="V65" s="1"/>
  <c r="V77" s="1"/>
  <c r="H12" i="2"/>
  <c r="BO77" i="11"/>
  <c r="BO87" s="1"/>
  <c r="O26" i="2"/>
  <c r="C25"/>
  <c r="BO46" i="11"/>
  <c r="BO61" s="1"/>
  <c r="Q31" i="2"/>
  <c r="R47" i="5"/>
  <c r="J32" i="1"/>
  <c r="L50" i="2"/>
  <c r="D60" i="12"/>
  <c r="S26" i="2"/>
  <c r="K51" i="5"/>
  <c r="Q51" s="1"/>
  <c r="I56"/>
  <c r="O56" s="1"/>
  <c r="N69" i="2"/>
  <c r="BO104" i="11"/>
  <c r="F10" i="2"/>
  <c r="J15"/>
  <c r="P15" s="1"/>
  <c r="J50" i="5"/>
  <c r="J55" s="1"/>
  <c r="P55" s="1"/>
  <c r="V60" i="12"/>
  <c r="D29"/>
  <c r="X29" s="1"/>
  <c r="X60"/>
  <c r="P15" i="5"/>
  <c r="L28" i="1"/>
  <c r="P46" i="5"/>
  <c r="J45"/>
  <c r="BS91" i="11"/>
  <c r="F91" i="12" s="1"/>
  <c r="D91"/>
  <c r="N42" i="5"/>
  <c r="BT107" i="11"/>
  <c r="K71" i="2"/>
  <c r="G60"/>
  <c r="L60" i="5"/>
  <c r="H28" i="2"/>
  <c r="H25" s="1"/>
  <c r="I49" i="5"/>
  <c r="N36" i="2"/>
  <c r="N38"/>
  <c r="Y14" i="12"/>
  <c r="N33" i="5"/>
  <c r="P20"/>
  <c r="C39"/>
  <c r="C40" s="1"/>
  <c r="C57" s="1"/>
  <c r="C61" s="1"/>
  <c r="O58" i="2"/>
  <c r="I28" i="1" s="1"/>
  <c r="Q46" i="5"/>
  <c r="B20" i="12"/>
  <c r="H11" i="5"/>
  <c r="N11" s="1"/>
  <c r="P59"/>
  <c r="J60"/>
  <c r="P60" s="1"/>
  <c r="C31" i="12"/>
  <c r="W31" s="1"/>
  <c r="I22" i="5"/>
  <c r="O22" s="1"/>
  <c r="O19"/>
  <c r="G12"/>
  <c r="N58" i="2"/>
  <c r="H28" i="1" s="1"/>
  <c r="P58" i="2"/>
  <c r="J28" i="1" s="1"/>
  <c r="F39" i="5"/>
  <c r="F98" i="12"/>
  <c r="Z98" s="1"/>
  <c r="V87" l="1"/>
  <c r="E503" i="6"/>
  <c r="V250" i="15"/>
  <c r="V382" s="1"/>
  <c r="I380"/>
  <c r="N382"/>
  <c r="F382"/>
  <c r="Y380"/>
  <c r="Y382" s="1"/>
  <c r="P382"/>
  <c r="Q382"/>
  <c r="T145"/>
  <c r="T144" s="1"/>
  <c r="W165"/>
  <c r="W250" s="1"/>
  <c r="W382" s="1"/>
  <c r="T157"/>
  <c r="U356"/>
  <c r="U340"/>
  <c r="S105"/>
  <c r="M382"/>
  <c r="S220"/>
  <c r="E382"/>
  <c r="U110"/>
  <c r="U105" s="1"/>
  <c r="T105"/>
  <c r="U364"/>
  <c r="S96"/>
  <c r="U348"/>
  <c r="T126"/>
  <c r="U129"/>
  <c r="U126" s="1"/>
  <c r="S126"/>
  <c r="U100"/>
  <c r="U96" s="1"/>
  <c r="T96"/>
  <c r="O250"/>
  <c r="O382" s="1"/>
  <c r="T119"/>
  <c r="S275"/>
  <c r="U352"/>
  <c r="U119"/>
  <c r="S119"/>
  <c r="S384"/>
  <c r="AB250"/>
  <c r="AB382" s="1"/>
  <c r="S38"/>
  <c r="U360"/>
  <c r="U42"/>
  <c r="U38" s="1"/>
  <c r="T38"/>
  <c r="T93"/>
  <c r="S90"/>
  <c r="D26" i="5"/>
  <c r="D40" s="1"/>
  <c r="D57" s="1"/>
  <c r="D61" s="1"/>
  <c r="H32"/>
  <c r="H18"/>
  <c r="F21" i="12"/>
  <c r="Z21" s="1"/>
  <c r="L12" i="5"/>
  <c r="F97" i="12"/>
  <c r="Z97" s="1"/>
  <c r="L57" i="2"/>
  <c r="AE65" i="9"/>
  <c r="BG50"/>
  <c r="L38" i="2"/>
  <c r="F80" i="12"/>
  <c r="E30" i="2"/>
  <c r="Q30" s="1"/>
  <c r="K9" i="1" s="1"/>
  <c r="Q32" i="2"/>
  <c r="K21" i="5"/>
  <c r="Q21" s="1"/>
  <c r="E30" i="12"/>
  <c r="Y30" s="1"/>
  <c r="E39"/>
  <c r="Y39" s="1"/>
  <c r="K33" i="5"/>
  <c r="Q33" s="1"/>
  <c r="F68" i="12"/>
  <c r="Z68" s="1"/>
  <c r="L15" i="2"/>
  <c r="E37" i="12"/>
  <c r="Y37" s="1"/>
  <c r="K31" i="5"/>
  <c r="BC112" i="9"/>
  <c r="F25" i="12"/>
  <c r="Z25" s="1"/>
  <c r="L14" i="5"/>
  <c r="L37"/>
  <c r="F43" i="12"/>
  <c r="Z43" s="1"/>
  <c r="K37" i="5"/>
  <c r="Q37" s="1"/>
  <c r="E43" i="12"/>
  <c r="Y43" s="1"/>
  <c r="F30"/>
  <c r="Z30" s="1"/>
  <c r="L21" i="5"/>
  <c r="R21" s="1"/>
  <c r="F26" i="12"/>
  <c r="Z26" s="1"/>
  <c r="L17" i="5"/>
  <c r="F56" i="12"/>
  <c r="Z56" s="1"/>
  <c r="L50" i="5"/>
  <c r="E40" i="12"/>
  <c r="K34" i="5"/>
  <c r="Q34" s="1"/>
  <c r="K17"/>
  <c r="Q17" s="1"/>
  <c r="E9" i="1" s="1"/>
  <c r="E26" i="12"/>
  <c r="Y26" s="1"/>
  <c r="DP44" i="10"/>
  <c r="BR36" i="11"/>
  <c r="BF106" i="8"/>
  <c r="W293" i="14"/>
  <c r="U107" i="11"/>
  <c r="T107"/>
  <c r="BK107"/>
  <c r="Y20" i="12"/>
  <c r="E44"/>
  <c r="Y44" s="1"/>
  <c r="K38" i="5"/>
  <c r="Q38" s="1"/>
  <c r="F34" i="12"/>
  <c r="Z34" s="1"/>
  <c r="L25" i="5"/>
  <c r="F65" i="12"/>
  <c r="Z65" s="1"/>
  <c r="L12" i="2"/>
  <c r="E32" i="12"/>
  <c r="Y32" s="1"/>
  <c r="K23" i="5"/>
  <c r="Q23" s="1"/>
  <c r="K36"/>
  <c r="Q36" s="1"/>
  <c r="E42" i="12"/>
  <c r="Y42" s="1"/>
  <c r="G30" i="5"/>
  <c r="J216" i="3"/>
  <c r="H166" i="6"/>
  <c r="H509" s="1"/>
  <c r="I166"/>
  <c r="I509" s="1"/>
  <c r="I511" s="1"/>
  <c r="G168"/>
  <c r="P61" i="2"/>
  <c r="D66"/>
  <c r="F9" i="5"/>
  <c r="Q13" i="2"/>
  <c r="S13" s="1"/>
  <c r="G13"/>
  <c r="E10"/>
  <c r="F13" i="5"/>
  <c r="R14"/>
  <c r="S14" s="1"/>
  <c r="BS106" i="10"/>
  <c r="BR106"/>
  <c r="F76" i="12"/>
  <c r="Z76" s="1"/>
  <c r="L32" i="2"/>
  <c r="DP8" i="10"/>
  <c r="BR8" i="11" s="1"/>
  <c r="E8" i="12" s="1"/>
  <c r="BP8" i="11"/>
  <c r="C8" i="12" s="1"/>
  <c r="W8" s="1"/>
  <c r="Y8" s="1"/>
  <c r="DQ8" i="10"/>
  <c r="BP25" i="11"/>
  <c r="DN34" i="10"/>
  <c r="DN45" s="1"/>
  <c r="E106"/>
  <c r="BG106"/>
  <c r="DO106" s="1"/>
  <c r="BI76"/>
  <c r="DQ63"/>
  <c r="DQ77"/>
  <c r="BI85"/>
  <c r="BI86" s="1"/>
  <c r="AD50" i="9"/>
  <c r="BF49"/>
  <c r="AT106" i="10"/>
  <c r="AS106"/>
  <c r="CR106"/>
  <c r="CQ106"/>
  <c r="BR38" i="11"/>
  <c r="E38" i="12" s="1"/>
  <c r="Y38" s="1"/>
  <c r="BM45" i="11"/>
  <c r="BM46" s="1"/>
  <c r="T104" i="12"/>
  <c r="Y94"/>
  <c r="K157" i="14"/>
  <c r="K155" s="1"/>
  <c r="J155"/>
  <c r="J165" i="15"/>
  <c r="J250" s="1"/>
  <c r="K167"/>
  <c r="K165" s="1"/>
  <c r="Z149" i="14"/>
  <c r="AA150"/>
  <c r="AA149" s="1"/>
  <c r="U341" i="15"/>
  <c r="T275"/>
  <c r="U349"/>
  <c r="U357"/>
  <c r="T220"/>
  <c r="S165"/>
  <c r="U355"/>
  <c r="U367"/>
  <c r="Y13" i="16"/>
  <c r="BO105" i="11"/>
  <c r="B60" i="12"/>
  <c r="R12" i="5"/>
  <c r="BA106" i="8"/>
  <c r="DQ37" i="10"/>
  <c r="BS38" i="11" s="1"/>
  <c r="F38" i="12" s="1"/>
  <c r="Z38" s="1"/>
  <c r="DG85" i="10"/>
  <c r="DG86" s="1"/>
  <c r="DG104" s="1"/>
  <c r="BS9" i="11"/>
  <c r="F9" i="12" s="1"/>
  <c r="Z9" s="1"/>
  <c r="BZ77" i="8"/>
  <c r="BZ87" s="1"/>
  <c r="DQ52" i="10"/>
  <c r="BS53" i="11" s="1"/>
  <c r="F53" i="12" s="1"/>
  <c r="Z53" s="1"/>
  <c r="DQ54" i="10"/>
  <c r="BS55" i="11" s="1"/>
  <c r="DQ84" i="10"/>
  <c r="BS85" i="11" s="1"/>
  <c r="AX112" i="9"/>
  <c r="DQ41" i="10"/>
  <c r="BS42" i="11" s="1"/>
  <c r="DQ83" i="10"/>
  <c r="BS84" i="11" s="1"/>
  <c r="BQ37"/>
  <c r="V186" i="14"/>
  <c r="V293" s="1"/>
  <c r="J109"/>
  <c r="S413" i="15"/>
  <c r="G14" i="5"/>
  <c r="DF34" i="10"/>
  <c r="I508" i="6"/>
  <c r="I81"/>
  <c r="N12" i="5"/>
  <c r="B7" i="1" s="1"/>
  <c r="B26" i="5"/>
  <c r="CG86" i="7"/>
  <c r="CG87" s="1"/>
  <c r="E36" i="2"/>
  <c r="BI34" i="10"/>
  <c r="DQ18"/>
  <c r="F63" i="2"/>
  <c r="CH104" i="7"/>
  <c r="N14" i="2"/>
  <c r="B10"/>
  <c r="B33" s="1"/>
  <c r="F58" i="3"/>
  <c r="F336"/>
  <c r="F340" s="1"/>
  <c r="F23" i="12"/>
  <c r="Z23" s="1"/>
  <c r="L15" i="5"/>
  <c r="R15" s="1"/>
  <c r="S15" s="1"/>
  <c r="P48" i="4"/>
  <c r="Z45"/>
  <c r="Z48" s="1"/>
  <c r="CG35" i="7"/>
  <c r="E11" i="5"/>
  <c r="L34"/>
  <c r="R34" s="1"/>
  <c r="F40" i="12"/>
  <c r="Z40" s="1"/>
  <c r="F31"/>
  <c r="Z31" s="1"/>
  <c r="L22" i="5"/>
  <c r="F81" i="12"/>
  <c r="Z81" s="1"/>
  <c r="L39" i="2"/>
  <c r="R39" s="1"/>
  <c r="BE112" i="9"/>
  <c r="J112"/>
  <c r="F69" i="12"/>
  <c r="Z69" s="1"/>
  <c r="L16" i="2"/>
  <c r="AD91" i="9"/>
  <c r="BF90"/>
  <c r="DQ9" i="10"/>
  <c r="BP9" i="11"/>
  <c r="C9" i="12" s="1"/>
  <c r="W9" s="1"/>
  <c r="Y9" s="1"/>
  <c r="DP9" i="10"/>
  <c r="BR9" i="11" s="1"/>
  <c r="E9" i="12" s="1"/>
  <c r="CB106" i="10"/>
  <c r="CC106"/>
  <c r="BR51" i="11"/>
  <c r="BM60"/>
  <c r="E88" i="12"/>
  <c r="X88"/>
  <c r="BN106" i="10"/>
  <c r="DD106"/>
  <c r="BM106"/>
  <c r="AN106"/>
  <c r="AO106"/>
  <c r="T276" i="14"/>
  <c r="S271"/>
  <c r="T166"/>
  <c r="S161"/>
  <c r="K114"/>
  <c r="K113" s="1"/>
  <c r="J113"/>
  <c r="T41"/>
  <c r="S32"/>
  <c r="T127"/>
  <c r="S120"/>
  <c r="T223"/>
  <c r="S222"/>
  <c r="S291" s="1"/>
  <c r="T55" i="15"/>
  <c r="S53"/>
  <c r="K20" i="5"/>
  <c r="Q20" s="1"/>
  <c r="E29" i="12"/>
  <c r="Y29" s="1"/>
  <c r="L53" i="2"/>
  <c r="F93" i="12"/>
  <c r="Z93" s="1"/>
  <c r="BR79" i="11"/>
  <c r="DP85" i="10"/>
  <c r="U343" i="15"/>
  <c r="U347"/>
  <c r="U351"/>
  <c r="U359"/>
  <c r="U363"/>
  <c r="O57" i="2"/>
  <c r="I67"/>
  <c r="O67" s="1"/>
  <c r="J55"/>
  <c r="P55" s="1"/>
  <c r="J26" i="1" s="1"/>
  <c r="P56" i="2"/>
  <c r="N28"/>
  <c r="BS104" i="11"/>
  <c r="DO45" i="10"/>
  <c r="DO60" s="1"/>
  <c r="DG44"/>
  <c r="BZ104" i="8"/>
  <c r="BG39" i="9"/>
  <c r="DQ49" i="10"/>
  <c r="BS50" i="11" s="1"/>
  <c r="F50" i="12" s="1"/>
  <c r="Z50" s="1"/>
  <c r="DQ81" i="10"/>
  <c r="BS82" i="11" s="1"/>
  <c r="BF39" i="9"/>
  <c r="DF44" i="10"/>
  <c r="DF45" s="1"/>
  <c r="DF60" s="1"/>
  <c r="DQ43"/>
  <c r="BS44" i="11" s="1"/>
  <c r="DQ82" i="10"/>
  <c r="BS83" i="11" s="1"/>
  <c r="F11" i="12"/>
  <c r="Z11" s="1"/>
  <c r="BQ31" i="11"/>
  <c r="BR54"/>
  <c r="E54" i="12" s="1"/>
  <c r="Y54" s="1"/>
  <c r="T105"/>
  <c r="F293" i="14"/>
  <c r="I155"/>
  <c r="I186" s="1"/>
  <c r="I293" s="1"/>
  <c r="X186"/>
  <c r="X293" s="1"/>
  <c r="I250" i="15"/>
  <c r="K250"/>
  <c r="H511" i="6"/>
  <c r="G509"/>
  <c r="J509" s="1"/>
  <c r="AN91" i="9"/>
  <c r="AN110" s="1"/>
  <c r="E97" i="12"/>
  <c r="Y97" s="1"/>
  <c r="E56" i="2"/>
  <c r="CG104" i="7"/>
  <c r="E96" i="12"/>
  <c r="Y96" s="1"/>
  <c r="DQ35" i="10"/>
  <c r="BI44"/>
  <c r="BI45" s="1"/>
  <c r="CH86" i="7"/>
  <c r="CH87" s="1"/>
  <c r="F36" i="2"/>
  <c r="F55"/>
  <c r="G56"/>
  <c r="G503" i="6"/>
  <c r="J503" s="1"/>
  <c r="J387"/>
  <c r="J508" s="1"/>
  <c r="G508"/>
  <c r="G511" s="1"/>
  <c r="J511" s="1"/>
  <c r="DP20" i="10"/>
  <c r="BH34"/>
  <c r="BH45" s="1"/>
  <c r="BH60" s="1"/>
  <c r="C29" i="12"/>
  <c r="W29" s="1"/>
  <c r="I20" i="5"/>
  <c r="O20" s="1"/>
  <c r="O18" s="1"/>
  <c r="C10" i="1" s="1"/>
  <c r="J106" i="10"/>
  <c r="BF106"/>
  <c r="K106"/>
  <c r="F57" i="12"/>
  <c r="Z57" s="1"/>
  <c r="L51" i="5"/>
  <c r="R51" s="1"/>
  <c r="O112" i="9"/>
  <c r="BD112"/>
  <c r="E24" i="12"/>
  <c r="Y24" s="1"/>
  <c r="K16" i="5"/>
  <c r="BQ93" i="11"/>
  <c r="DO103" i="10"/>
  <c r="DO104" s="1"/>
  <c r="DP92"/>
  <c r="E55" i="12"/>
  <c r="Y55" s="1"/>
  <c r="K49" i="5"/>
  <c r="AX107" i="11"/>
  <c r="AY107"/>
  <c r="J28" i="2"/>
  <c r="D73" i="12"/>
  <c r="X73" s="1"/>
  <c r="I66" i="2"/>
  <c r="I55"/>
  <c r="O55" s="1"/>
  <c r="I26" i="1" s="1"/>
  <c r="T143" i="14"/>
  <c r="S141"/>
  <c r="T140" i="15"/>
  <c r="S139"/>
  <c r="T25"/>
  <c r="S9"/>
  <c r="T16" i="16"/>
  <c r="S7"/>
  <c r="S24" s="1"/>
  <c r="T152" i="15"/>
  <c r="S150"/>
  <c r="DP76" i="10"/>
  <c r="BR71" i="11"/>
  <c r="U345" i="15"/>
  <c r="U353"/>
  <c r="U361"/>
  <c r="T413"/>
  <c r="T384"/>
  <c r="U354"/>
  <c r="W55" i="12"/>
  <c r="W60" s="1"/>
  <c r="C60"/>
  <c r="K25" i="2"/>
  <c r="M25" s="1"/>
  <c r="M28"/>
  <c r="Q28"/>
  <c r="S28" s="1"/>
  <c r="B40" i="5"/>
  <c r="B57" s="1"/>
  <c r="B61" s="1"/>
  <c r="B77" i="12"/>
  <c r="BQ87" i="11"/>
  <c r="AE106" i="7"/>
  <c r="BZ35" i="8"/>
  <c r="BZ46" s="1"/>
  <c r="BZ61" s="1"/>
  <c r="DQ19" i="10"/>
  <c r="BS20" i="11" s="1"/>
  <c r="E27" i="12"/>
  <c r="Y27" s="1"/>
  <c r="DQ51" i="10"/>
  <c r="BS52" i="11" s="1"/>
  <c r="DG59" i="10"/>
  <c r="DQ57"/>
  <c r="BS58" i="11" s="1"/>
  <c r="BY105" i="8"/>
  <c r="BY106" s="1"/>
  <c r="DQ32" i="10"/>
  <c r="BS33" i="11" s="1"/>
  <c r="DQ50" i="10"/>
  <c r="BS51" i="11" s="1"/>
  <c r="F51" i="12" s="1"/>
  <c r="Z51" s="1"/>
  <c r="BE106" i="10"/>
  <c r="DM106" s="1"/>
  <c r="BO107" i="11" s="1"/>
  <c r="BI103" i="10"/>
  <c r="O186" i="14"/>
  <c r="O293" s="1"/>
  <c r="N14" i="5"/>
  <c r="J186" i="14"/>
  <c r="J293" s="1"/>
  <c r="K380" i="15"/>
  <c r="G10" i="5"/>
  <c r="O44" i="2"/>
  <c r="O107" i="11"/>
  <c r="Q57" i="2"/>
  <c r="CG45" i="7"/>
  <c r="CG46" s="1"/>
  <c r="CG61" s="1"/>
  <c r="E31" i="5"/>
  <c r="Q27" i="2"/>
  <c r="E25"/>
  <c r="H58" i="3"/>
  <c r="H336"/>
  <c r="H340" s="1"/>
  <c r="K340" s="1"/>
  <c r="K30"/>
  <c r="BF64" i="9"/>
  <c r="E65"/>
  <c r="BK35" i="11"/>
  <c r="BK46" s="1"/>
  <c r="BK61" s="1"/>
  <c r="BP21"/>
  <c r="R35" i="5"/>
  <c r="S35" s="1"/>
  <c r="M35"/>
  <c r="DN59" i="10"/>
  <c r="DP47"/>
  <c r="DP59" s="1"/>
  <c r="DQ48"/>
  <c r="BI59"/>
  <c r="D31" i="1"/>
  <c r="Q53" i="5"/>
  <c r="E31" i="1" s="1"/>
  <c r="P91" i="9"/>
  <c r="BG90"/>
  <c r="T133" i="15"/>
  <c r="S132"/>
  <c r="CG106" i="10"/>
  <c r="CH106"/>
  <c r="T91" i="14"/>
  <c r="T90" s="1"/>
  <c r="S90"/>
  <c r="T60"/>
  <c r="S56"/>
  <c r="T131"/>
  <c r="S129"/>
  <c r="T32" i="15"/>
  <c r="S28"/>
  <c r="T252"/>
  <c r="T273" s="1"/>
  <c r="U254"/>
  <c r="U252" s="1"/>
  <c r="U273" s="1"/>
  <c r="U365"/>
  <c r="U342"/>
  <c r="U346"/>
  <c r="U350"/>
  <c r="U358"/>
  <c r="U362"/>
  <c r="U366"/>
  <c r="X86" i="12"/>
  <c r="F102"/>
  <c r="Z102" s="1"/>
  <c r="BM106" i="7"/>
  <c r="DQ23" i="10"/>
  <c r="BS24" i="11" s="1"/>
  <c r="DQ31" i="10"/>
  <c r="BS32" i="11" s="1"/>
  <c r="DG34" i="10"/>
  <c r="DQ28"/>
  <c r="BS29" i="11" s="1"/>
  <c r="DQ78" i="10"/>
  <c r="BS79" i="11" s="1"/>
  <c r="F79" i="12" s="1"/>
  <c r="Z79" s="1"/>
  <c r="J110" i="9"/>
  <c r="DQ27" i="10"/>
  <c r="BS28" i="11" s="1"/>
  <c r="DQ38" i="10"/>
  <c r="BS39" i="11" s="1"/>
  <c r="BS8"/>
  <c r="F8" i="12" s="1"/>
  <c r="Z8" s="1"/>
  <c r="Y88"/>
  <c r="BQ107" i="11"/>
  <c r="X250" i="15"/>
  <c r="X382" s="1"/>
  <c r="DQ103" i="10"/>
  <c r="K186" i="14"/>
  <c r="K293" s="1"/>
  <c r="E78" i="12"/>
  <c r="Y78" s="1"/>
  <c r="J380" i="15"/>
  <c r="E72" i="12"/>
  <c r="Y72" s="1"/>
  <c r="V20"/>
  <c r="V35" s="1"/>
  <c r="V46" s="1"/>
  <c r="V61" s="1"/>
  <c r="B35"/>
  <c r="R60" i="5"/>
  <c r="S60" s="1"/>
  <c r="M60"/>
  <c r="X91" i="12"/>
  <c r="P45" i="5"/>
  <c r="N12" i="2"/>
  <c r="H10"/>
  <c r="J67"/>
  <c r="P54"/>
  <c r="K54"/>
  <c r="P47" i="5"/>
  <c r="Q47" s="1"/>
  <c r="K47"/>
  <c r="K45" s="1"/>
  <c r="Q45" s="1"/>
  <c r="J56"/>
  <c r="P56" s="1"/>
  <c r="O59" i="2"/>
  <c r="I27" i="1" s="1"/>
  <c r="C65" i="2"/>
  <c r="M57"/>
  <c r="R57"/>
  <c r="S57" s="1"/>
  <c r="I9" i="5"/>
  <c r="O11"/>
  <c r="G37" i="2"/>
  <c r="F45"/>
  <c r="X20" i="12"/>
  <c r="N49" i="2"/>
  <c r="R49" s="1"/>
  <c r="M38"/>
  <c r="R43" i="5"/>
  <c r="Q43"/>
  <c r="D33" i="2"/>
  <c r="Q71"/>
  <c r="S71" s="1"/>
  <c r="M71"/>
  <c r="B25" i="1"/>
  <c r="B29" s="1"/>
  <c r="B33" s="1"/>
  <c r="N39" i="2"/>
  <c r="H37"/>
  <c r="H45" s="1"/>
  <c r="P36" i="5"/>
  <c r="J32"/>
  <c r="H66" i="2"/>
  <c r="L51"/>
  <c r="N51"/>
  <c r="N46" i="5"/>
  <c r="H45"/>
  <c r="H55"/>
  <c r="N55" s="1"/>
  <c r="B16" i="1"/>
  <c r="L8"/>
  <c r="B45" i="2"/>
  <c r="B46" s="1"/>
  <c r="B68" s="1"/>
  <c r="P43"/>
  <c r="J42"/>
  <c r="P42" s="1"/>
  <c r="J18" i="1" s="1"/>
  <c r="P11" i="2"/>
  <c r="J10"/>
  <c r="P59"/>
  <c r="J27" i="1" s="1"/>
  <c r="D65" i="2"/>
  <c r="K33"/>
  <c r="Q10"/>
  <c r="P11" i="5"/>
  <c r="J9"/>
  <c r="K18"/>
  <c r="Q19"/>
  <c r="Q18" s="1"/>
  <c r="E10" i="1" s="1"/>
  <c r="O12" i="2"/>
  <c r="I10"/>
  <c r="O38"/>
  <c r="I37"/>
  <c r="I45" s="1"/>
  <c r="L42" i="5"/>
  <c r="K42"/>
  <c r="O42"/>
  <c r="I55"/>
  <c r="O55" s="1"/>
  <c r="I48"/>
  <c r="O48" s="1"/>
  <c r="C26" i="1" s="1"/>
  <c r="O49" i="5"/>
  <c r="Y40" i="12"/>
  <c r="V91"/>
  <c r="V104" s="1"/>
  <c r="B104"/>
  <c r="C45" i="2"/>
  <c r="M31" i="5"/>
  <c r="R31"/>
  <c r="N53" i="2"/>
  <c r="N52" s="1"/>
  <c r="H52"/>
  <c r="H65" s="1"/>
  <c r="N65" s="1"/>
  <c r="D77" i="12"/>
  <c r="X64"/>
  <c r="X77" s="1"/>
  <c r="X87" s="1"/>
  <c r="K37" i="2"/>
  <c r="Q38"/>
  <c r="O30" i="5"/>
  <c r="W80" i="12"/>
  <c r="W86" s="1"/>
  <c r="C86"/>
  <c r="O66" i="2"/>
  <c r="E66"/>
  <c r="H16" i="1"/>
  <c r="Z91" i="12"/>
  <c r="Z104" s="1"/>
  <c r="P50" i="5"/>
  <c r="J48"/>
  <c r="P48" s="1"/>
  <c r="D26" i="1" s="1"/>
  <c r="D29" s="1"/>
  <c r="F33" i="2"/>
  <c r="G10"/>
  <c r="O25"/>
  <c r="I8" i="1" s="1"/>
  <c r="C33" i="2"/>
  <c r="C46" s="1"/>
  <c r="C68" s="1"/>
  <c r="N16" i="5"/>
  <c r="H13"/>
  <c r="N13" s="1"/>
  <c r="B8" i="1" s="1"/>
  <c r="D16"/>
  <c r="Q40" i="2"/>
  <c r="P37"/>
  <c r="D45"/>
  <c r="Q51"/>
  <c r="R51"/>
  <c r="Q50"/>
  <c r="R50"/>
  <c r="O34" i="5"/>
  <c r="I32"/>
  <c r="O32" s="1"/>
  <c r="C18" i="1" s="1"/>
  <c r="W36" i="12"/>
  <c r="W45" s="1"/>
  <c r="C45"/>
  <c r="W65"/>
  <c r="W77" s="1"/>
  <c r="C77"/>
  <c r="J30" i="2"/>
  <c r="P30" s="1"/>
  <c r="J9" i="1" s="1"/>
  <c r="P31" i="2"/>
  <c r="Z80" i="12"/>
  <c r="V105"/>
  <c r="J45" i="2"/>
  <c r="F67"/>
  <c r="L49"/>
  <c r="H9" i="5"/>
  <c r="N66" i="2"/>
  <c r="K48" i="5"/>
  <c r="Q48" s="1"/>
  <c r="E26" i="1" s="1"/>
  <c r="K32" i="5"/>
  <c r="H56"/>
  <c r="N56" s="1"/>
  <c r="I29" i="1"/>
  <c r="I33" s="1"/>
  <c r="K56" i="5"/>
  <c r="Q56" s="1"/>
  <c r="D86" i="12"/>
  <c r="L55" i="2"/>
  <c r="N18" i="5"/>
  <c r="B10" i="1" s="1"/>
  <c r="N25" i="2"/>
  <c r="H8" i="1" s="1"/>
  <c r="I18" i="5"/>
  <c r="B46" i="12"/>
  <c r="B61" s="1"/>
  <c r="B86"/>
  <c r="B87" s="1"/>
  <c r="W104"/>
  <c r="R38" i="2"/>
  <c r="S38" s="1"/>
  <c r="O37" l="1"/>
  <c r="I382" i="15"/>
  <c r="U157"/>
  <c r="U156" s="1"/>
  <c r="T156"/>
  <c r="U145"/>
  <c r="U144" s="1"/>
  <c r="U93"/>
  <c r="U90" s="1"/>
  <c r="T90"/>
  <c r="K382"/>
  <c r="N32" i="5"/>
  <c r="H39"/>
  <c r="L19"/>
  <c r="F28" i="12"/>
  <c r="Z28" s="1"/>
  <c r="U32" i="15"/>
  <c r="U28" s="1"/>
  <c r="T28"/>
  <c r="U60" i="14"/>
  <c r="U56" s="1"/>
  <c r="T56"/>
  <c r="P110" i="9"/>
  <c r="P112" s="1"/>
  <c r="BG91"/>
  <c r="BG110" s="1"/>
  <c r="DQ59" i="10"/>
  <c r="BS49" i="11"/>
  <c r="Q25" i="2"/>
  <c r="G25"/>
  <c r="F58" i="12"/>
  <c r="Z58" s="1"/>
  <c r="L52" i="5"/>
  <c r="F20" i="12"/>
  <c r="Z20" s="1"/>
  <c r="L11" i="5"/>
  <c r="U16" i="16"/>
  <c r="T7"/>
  <c r="T24" s="1"/>
  <c r="U140" i="15"/>
  <c r="U139" s="1"/>
  <c r="T139"/>
  <c r="BG112" i="9"/>
  <c r="BF112"/>
  <c r="BF114" s="1"/>
  <c r="F83" i="12"/>
  <c r="Z83" s="1"/>
  <c r="L41" i="2"/>
  <c r="R41" s="1"/>
  <c r="F82" i="12"/>
  <c r="Z82" s="1"/>
  <c r="L40" i="2"/>
  <c r="E51" i="12"/>
  <c r="BR60" i="11"/>
  <c r="R16" i="2"/>
  <c r="M16"/>
  <c r="Q36"/>
  <c r="K16" i="1" s="1"/>
  <c r="E45" i="2"/>
  <c r="DQ85" i="10"/>
  <c r="DQ86" s="1"/>
  <c r="DQ104" s="1"/>
  <c r="BS78" i="11"/>
  <c r="F26" i="5"/>
  <c r="R25"/>
  <c r="S25" s="1"/>
  <c r="M25"/>
  <c r="E36" i="12"/>
  <c r="K30" i="5"/>
  <c r="BR45" i="11"/>
  <c r="M17" i="5"/>
  <c r="R17"/>
  <c r="M14"/>
  <c r="AE112" i="9"/>
  <c r="BG65"/>
  <c r="BJ112" s="1"/>
  <c r="W87" i="12"/>
  <c r="W105" s="1"/>
  <c r="DG45" i="10"/>
  <c r="DG60" s="1"/>
  <c r="DP86"/>
  <c r="S186" i="14"/>
  <c r="S293" s="1"/>
  <c r="E33" i="2"/>
  <c r="E46" s="1"/>
  <c r="L33" i="5"/>
  <c r="F39" i="12"/>
  <c r="Z39" s="1"/>
  <c r="F29"/>
  <c r="Z29" s="1"/>
  <c r="L20" i="5"/>
  <c r="E71" i="12"/>
  <c r="BR77" i="11"/>
  <c r="BR93"/>
  <c r="DP103" i="10"/>
  <c r="DQ44"/>
  <c r="BS36" i="11"/>
  <c r="R53" i="2"/>
  <c r="L52"/>
  <c r="U55" i="15"/>
  <c r="U53" s="1"/>
  <c r="T53"/>
  <c r="U127" i="14"/>
  <c r="U120" s="1"/>
  <c r="T120"/>
  <c r="U276"/>
  <c r="U271" s="1"/>
  <c r="T271"/>
  <c r="DG106" i="10"/>
  <c r="DF106"/>
  <c r="BF91" i="9"/>
  <c r="BF110" s="1"/>
  <c r="BI112" s="1"/>
  <c r="AD110"/>
  <c r="F42" i="12"/>
  <c r="Z42" s="1"/>
  <c r="L36" i="5"/>
  <c r="F55" i="12"/>
  <c r="Z55" s="1"/>
  <c r="L49" i="5"/>
  <c r="F7" i="1"/>
  <c r="U220" i="15"/>
  <c r="U165" s="1"/>
  <c r="T165"/>
  <c r="G13" i="5"/>
  <c r="H168" i="6"/>
  <c r="I168" s="1"/>
  <c r="J168"/>
  <c r="R37" i="5"/>
  <c r="S37" s="1"/>
  <c r="M37"/>
  <c r="L65" i="2"/>
  <c r="G45"/>
  <c r="I65"/>
  <c r="O65" s="1"/>
  <c r="BM61" i="11"/>
  <c r="BI104" i="10"/>
  <c r="Q31" i="5"/>
  <c r="E17" i="1" s="1"/>
  <c r="F24" i="12"/>
  <c r="Z24" s="1"/>
  <c r="L16" i="5"/>
  <c r="R16" s="1"/>
  <c r="U131" i="14"/>
  <c r="U129" s="1"/>
  <c r="T129"/>
  <c r="U133" i="15"/>
  <c r="U132" s="1"/>
  <c r="T132"/>
  <c r="G31" i="5"/>
  <c r="E39"/>
  <c r="G39" s="1"/>
  <c r="F52" i="12"/>
  <c r="Z52" s="1"/>
  <c r="L46" i="5"/>
  <c r="U152" i="15"/>
  <c r="U150" s="1"/>
  <c r="T150"/>
  <c r="U25"/>
  <c r="U9" s="1"/>
  <c r="T9"/>
  <c r="U143" i="14"/>
  <c r="U141" s="1"/>
  <c r="T141"/>
  <c r="J25" i="2"/>
  <c r="P25" s="1"/>
  <c r="J8" i="1" s="1"/>
  <c r="P28" i="2"/>
  <c r="Q16" i="5"/>
  <c r="K13"/>
  <c r="Q13" s="1"/>
  <c r="E8" i="1" s="1"/>
  <c r="BR21" i="11"/>
  <c r="DP34" i="10"/>
  <c r="E55" i="2"/>
  <c r="Q56"/>
  <c r="S56" s="1"/>
  <c r="D31" i="12"/>
  <c r="J22" i="5"/>
  <c r="BQ35" i="11"/>
  <c r="R22" i="5"/>
  <c r="S22" s="1"/>
  <c r="M22"/>
  <c r="E9"/>
  <c r="G9" s="1"/>
  <c r="G11"/>
  <c r="Q11"/>
  <c r="DQ34" i="10"/>
  <c r="BS19" i="11"/>
  <c r="F84" i="12"/>
  <c r="Z84" s="1"/>
  <c r="L43" i="2"/>
  <c r="F85" i="12"/>
  <c r="Z85" s="1"/>
  <c r="L44" i="2"/>
  <c r="Z13" i="16"/>
  <c r="AD65" i="9"/>
  <c r="AD112" s="1"/>
  <c r="BF50"/>
  <c r="C25" i="12"/>
  <c r="W25" s="1"/>
  <c r="I14" i="5"/>
  <c r="R32" i="2"/>
  <c r="L30"/>
  <c r="R12"/>
  <c r="S12" s="1"/>
  <c r="M12"/>
  <c r="BN107" i="11"/>
  <c r="BM107"/>
  <c r="BP107"/>
  <c r="R50" i="5"/>
  <c r="S50" s="1"/>
  <c r="M50"/>
  <c r="J54"/>
  <c r="J382" i="15"/>
  <c r="BI60" i="10"/>
  <c r="S250" i="15"/>
  <c r="U275"/>
  <c r="J340" i="3"/>
  <c r="F104" i="12"/>
  <c r="F32"/>
  <c r="Z32" s="1"/>
  <c r="L23" i="5"/>
  <c r="I12"/>
  <c r="O12" s="1"/>
  <c r="C7" i="1" s="1"/>
  <c r="C21" i="12"/>
  <c r="BP35" i="11"/>
  <c r="BP46" s="1"/>
  <c r="BP61" s="1"/>
  <c r="F33" i="12"/>
  <c r="Z33" s="1"/>
  <c r="L24" i="5"/>
  <c r="Q49"/>
  <c r="K55"/>
  <c r="Q55" s="1"/>
  <c r="J53" i="2"/>
  <c r="D93" i="12"/>
  <c r="BQ104" i="11"/>
  <c r="BQ105" s="1"/>
  <c r="BH106" i="10"/>
  <c r="DN106"/>
  <c r="BI106"/>
  <c r="F44" i="12"/>
  <c r="Z44" s="1"/>
  <c r="L38" i="5"/>
  <c r="E79" i="12"/>
  <c r="BR86" i="11"/>
  <c r="BR87" s="1"/>
  <c r="U223" i="14"/>
  <c r="U222" s="1"/>
  <c r="U291" s="1"/>
  <c r="T222"/>
  <c r="T291" s="1"/>
  <c r="U41"/>
  <c r="U32" s="1"/>
  <c r="T32"/>
  <c r="U166"/>
  <c r="U161" s="1"/>
  <c r="T161"/>
  <c r="F59" i="2"/>
  <c r="F65" s="1"/>
  <c r="G63"/>
  <c r="R63"/>
  <c r="S63" s="1"/>
  <c r="D37" i="12"/>
  <c r="J31" i="5"/>
  <c r="P31" s="1"/>
  <c r="D17" i="1" s="1"/>
  <c r="BQ45" i="11"/>
  <c r="DQ76" i="10"/>
  <c r="BS64" i="11"/>
  <c r="R15" i="2"/>
  <c r="S15" s="1"/>
  <c r="M15"/>
  <c r="CH105" i="7"/>
  <c r="CH106" s="1"/>
  <c r="CG105"/>
  <c r="CG106" s="1"/>
  <c r="BZ105" i="8"/>
  <c r="BZ106" s="1"/>
  <c r="DN60" i="10"/>
  <c r="DP45"/>
  <c r="DP60" s="1"/>
  <c r="B72" i="2"/>
  <c r="F46"/>
  <c r="G33"/>
  <c r="C16" i="1"/>
  <c r="C20" s="1"/>
  <c r="O39" i="5"/>
  <c r="F66" i="2"/>
  <c r="I17" i="1"/>
  <c r="I20" s="1"/>
  <c r="O45" i="2"/>
  <c r="O10"/>
  <c r="I33"/>
  <c r="I46" s="1"/>
  <c r="I68" s="1"/>
  <c r="I72" s="1"/>
  <c r="P9" i="5"/>
  <c r="Q54" i="2"/>
  <c r="B105" i="12"/>
  <c r="D87"/>
  <c r="I39" i="5"/>
  <c r="I54"/>
  <c r="N37" i="2"/>
  <c r="V106" i="12"/>
  <c r="C72" i="2"/>
  <c r="Q37"/>
  <c r="K45"/>
  <c r="H26" i="5"/>
  <c r="H40" s="1"/>
  <c r="N9"/>
  <c r="F17" i="1"/>
  <c r="S31" i="5"/>
  <c r="P32"/>
  <c r="J39"/>
  <c r="O9"/>
  <c r="N10" i="2"/>
  <c r="H33"/>
  <c r="H46" s="1"/>
  <c r="H68" s="1"/>
  <c r="H72" s="1"/>
  <c r="M55"/>
  <c r="R55"/>
  <c r="Q32" i="5"/>
  <c r="K39"/>
  <c r="G67" i="2"/>
  <c r="J17" i="1"/>
  <c r="J20" s="1"/>
  <c r="P45" i="2"/>
  <c r="Q42" i="5"/>
  <c r="O54"/>
  <c r="R42"/>
  <c r="C25" i="1"/>
  <c r="C29" s="1"/>
  <c r="C33" s="1"/>
  <c r="I34" s="1"/>
  <c r="K6"/>
  <c r="Q33" i="2"/>
  <c r="P10"/>
  <c r="N45" i="5"/>
  <c r="H54"/>
  <c r="K25" i="1"/>
  <c r="E30"/>
  <c r="E32" s="1"/>
  <c r="P67" i="2"/>
  <c r="K67"/>
  <c r="Q67" s="1"/>
  <c r="D30" i="1"/>
  <c r="D32" s="1"/>
  <c r="D33" s="1"/>
  <c r="J25"/>
  <c r="J29" s="1"/>
  <c r="J33" s="1"/>
  <c r="P54" i="5"/>
  <c r="K54"/>
  <c r="K46" i="2"/>
  <c r="D46"/>
  <c r="D68" s="1"/>
  <c r="C87" i="12"/>
  <c r="C105" s="1"/>
  <c r="T250" i="15" l="1"/>
  <c r="B18" i="1"/>
  <c r="B20" s="1"/>
  <c r="N39" i="5"/>
  <c r="R65" i="2"/>
  <c r="F64" i="12"/>
  <c r="L11" i="2"/>
  <c r="BS77" i="11"/>
  <c r="K12" i="5"/>
  <c r="E21" i="12"/>
  <c r="BR35" i="11"/>
  <c r="K53" i="2"/>
  <c r="E93" i="12"/>
  <c r="BR104" i="11"/>
  <c r="X93" i="12"/>
  <c r="X104" s="1"/>
  <c r="X105" s="1"/>
  <c r="D104"/>
  <c r="D105" s="1"/>
  <c r="R24" i="5"/>
  <c r="S24" s="1"/>
  <c r="M24"/>
  <c r="Q55" i="2"/>
  <c r="K26" i="1" s="1"/>
  <c r="E65" i="2"/>
  <c r="E68" s="1"/>
  <c r="E72" s="1"/>
  <c r="M36" i="5"/>
  <c r="R36"/>
  <c r="S36" s="1"/>
  <c r="Y71" i="12"/>
  <c r="Y77" s="1"/>
  <c r="E77"/>
  <c r="R33" i="5"/>
  <c r="S33" s="1"/>
  <c r="M33"/>
  <c r="L32"/>
  <c r="S17"/>
  <c r="F9" i="1"/>
  <c r="Y36" i="12"/>
  <c r="Y45" s="1"/>
  <c r="E45"/>
  <c r="Y51"/>
  <c r="Y60" s="1"/>
  <c r="E60"/>
  <c r="K8" i="1"/>
  <c r="S25" i="2"/>
  <c r="T186" i="14"/>
  <c r="T293" s="1"/>
  <c r="BR105" i="11"/>
  <c r="BQ46"/>
  <c r="BQ61" s="1"/>
  <c r="G55" i="2"/>
  <c r="DQ45" i="10"/>
  <c r="DQ60" s="1"/>
  <c r="X31" i="12"/>
  <c r="X35" s="1"/>
  <c r="D35"/>
  <c r="R49" i="5"/>
  <c r="S49" s="1"/>
  <c r="M49"/>
  <c r="L48"/>
  <c r="R52" i="2"/>
  <c r="L7" i="1"/>
  <c r="S16" i="2"/>
  <c r="W21" i="12"/>
  <c r="W35" s="1"/>
  <c r="W46" s="1"/>
  <c r="W61" s="1"/>
  <c r="W106" s="1"/>
  <c r="C35"/>
  <c r="C46" s="1"/>
  <c r="C61" s="1"/>
  <c r="O14" i="5"/>
  <c r="I13"/>
  <c r="R43" i="2"/>
  <c r="S43" s="1"/>
  <c r="M43"/>
  <c r="L42"/>
  <c r="F36" i="12"/>
  <c r="L30" i="5"/>
  <c r="M30" s="1"/>
  <c r="BS45" i="11"/>
  <c r="Q30" i="5"/>
  <c r="E16" i="1" s="1"/>
  <c r="F40" i="5"/>
  <c r="M11"/>
  <c r="R11"/>
  <c r="S11" s="1"/>
  <c r="BF65" i="9"/>
  <c r="BF113" s="1"/>
  <c r="J33" i="2"/>
  <c r="J46" s="1"/>
  <c r="O68"/>
  <c r="O72" s="1"/>
  <c r="N68"/>
  <c r="N72" s="1"/>
  <c r="U250" i="15"/>
  <c r="DP104" i="10"/>
  <c r="DS106" s="1"/>
  <c r="L13" i="5"/>
  <c r="X37" i="12"/>
  <c r="X45" s="1"/>
  <c r="D45"/>
  <c r="D46" s="1"/>
  <c r="D61" s="1"/>
  <c r="BS107" i="11"/>
  <c r="M38" i="5"/>
  <c r="R38"/>
  <c r="S38" s="1"/>
  <c r="AA16" i="16"/>
  <c r="U7"/>
  <c r="U24" s="1"/>
  <c r="R19" i="5"/>
  <c r="L18"/>
  <c r="G59" i="2"/>
  <c r="R59"/>
  <c r="Y79" i="12"/>
  <c r="Y86" s="1"/>
  <c r="Y87" s="1"/>
  <c r="E86"/>
  <c r="DQ106" i="10"/>
  <c r="DP106"/>
  <c r="J66" i="2"/>
  <c r="P53"/>
  <c r="P52" s="1"/>
  <c r="J52"/>
  <c r="J65" s="1"/>
  <c r="P65" s="1"/>
  <c r="R23" i="5"/>
  <c r="S23" s="1"/>
  <c r="M23"/>
  <c r="R30" i="2"/>
  <c r="L9" i="1" s="1"/>
  <c r="M44" i="2"/>
  <c r="R44"/>
  <c r="S44" s="1"/>
  <c r="L10" i="5"/>
  <c r="F19" i="12"/>
  <c r="BS35" i="11"/>
  <c r="E26" i="5"/>
  <c r="E40" s="1"/>
  <c r="E57" s="1"/>
  <c r="E61" s="1"/>
  <c r="Q9"/>
  <c r="P22"/>
  <c r="P18" s="1"/>
  <c r="D10" i="1" s="1"/>
  <c r="J18" i="5"/>
  <c r="J26" s="1"/>
  <c r="J40" s="1"/>
  <c r="J57" s="1"/>
  <c r="J61" s="1"/>
  <c r="R46"/>
  <c r="S46" s="1"/>
  <c r="L55"/>
  <c r="L45"/>
  <c r="M46"/>
  <c r="R20"/>
  <c r="S20" s="1"/>
  <c r="M20"/>
  <c r="F78" i="12"/>
  <c r="L36" i="2"/>
  <c r="BS86" i="11"/>
  <c r="R40" i="2"/>
  <c r="S40" s="1"/>
  <c r="L37"/>
  <c r="M40"/>
  <c r="R52" i="5"/>
  <c r="S52" s="1"/>
  <c r="M52"/>
  <c r="L56"/>
  <c r="BS60" i="11"/>
  <c r="F49" i="12"/>
  <c r="BR46" i="11"/>
  <c r="BR61" s="1"/>
  <c r="K29" i="1"/>
  <c r="K33" s="1"/>
  <c r="K12"/>
  <c r="I21"/>
  <c r="U186" i="14"/>
  <c r="U293" s="1"/>
  <c r="BR107" i="11"/>
  <c r="BR109" s="1"/>
  <c r="L26" i="1"/>
  <c r="S55" i="2"/>
  <c r="G46"/>
  <c r="F68"/>
  <c r="D72"/>
  <c r="H25" i="1"/>
  <c r="H29" s="1"/>
  <c r="H33" s="1"/>
  <c r="H34" s="1"/>
  <c r="N54" i="5"/>
  <c r="F25" i="1"/>
  <c r="E18"/>
  <c r="E20" s="1"/>
  <c r="Q39" i="5"/>
  <c r="H6" i="1"/>
  <c r="H12" s="1"/>
  <c r="N33" i="2"/>
  <c r="C6" i="1"/>
  <c r="P26" i="5"/>
  <c r="D6" i="1"/>
  <c r="D12" s="1"/>
  <c r="J6"/>
  <c r="J12" s="1"/>
  <c r="P33" i="2"/>
  <c r="P46" s="1"/>
  <c r="D18" i="1"/>
  <c r="D20" s="1"/>
  <c r="J21" s="1"/>
  <c r="P39" i="5"/>
  <c r="I6" i="1"/>
  <c r="I12" s="1"/>
  <c r="O33" i="2"/>
  <c r="O46" s="1"/>
  <c r="H57" i="5"/>
  <c r="H61" s="1"/>
  <c r="K17" i="1"/>
  <c r="K20" s="1"/>
  <c r="K21" s="1"/>
  <c r="Q45" i="2"/>
  <c r="Q46" s="1"/>
  <c r="Q54" i="5"/>
  <c r="E25" i="1"/>
  <c r="E29" s="1"/>
  <c r="E33" s="1"/>
  <c r="K34" s="1"/>
  <c r="N26" i="5"/>
  <c r="N40" s="1"/>
  <c r="B6" i="1"/>
  <c r="B12" s="1"/>
  <c r="B22" s="1"/>
  <c r="B37" s="1"/>
  <c r="H17"/>
  <c r="H20" s="1"/>
  <c r="H21" s="1"/>
  <c r="N45" i="2"/>
  <c r="G66"/>
  <c r="J34" i="1"/>
  <c r="L67" i="2"/>
  <c r="Z106" i="12" l="1"/>
  <c r="M36" i="2"/>
  <c r="R36"/>
  <c r="L45"/>
  <c r="M45" s="1"/>
  <c r="M42"/>
  <c r="R42"/>
  <c r="Q53"/>
  <c r="M53"/>
  <c r="K52"/>
  <c r="R56" i="5"/>
  <c r="S56" s="1"/>
  <c r="M56"/>
  <c r="R37" i="2"/>
  <c r="M37"/>
  <c r="Z78" i="12"/>
  <c r="Z86" s="1"/>
  <c r="F86"/>
  <c r="M45" i="5"/>
  <c r="R45"/>
  <c r="L54"/>
  <c r="M54" s="1"/>
  <c r="Z19" i="12"/>
  <c r="Z35" s="1"/>
  <c r="F35"/>
  <c r="X16" i="16"/>
  <c r="AA7"/>
  <c r="AA24" s="1"/>
  <c r="F57" i="5"/>
  <c r="G40"/>
  <c r="M32"/>
  <c r="R32"/>
  <c r="R11" i="2"/>
  <c r="S11" s="1"/>
  <c r="M11"/>
  <c r="L10"/>
  <c r="J68"/>
  <c r="BS46" i="11"/>
  <c r="BS61" s="1"/>
  <c r="M13" i="5"/>
  <c r="R13"/>
  <c r="F60" i="12"/>
  <c r="Z49"/>
  <c r="Z60" s="1"/>
  <c r="P66" i="2"/>
  <c r="K66"/>
  <c r="Q66" s="1"/>
  <c r="Z36" i="12"/>
  <c r="Z45" s="1"/>
  <c r="Z46" s="1"/>
  <c r="Z61" s="1"/>
  <c r="F45"/>
  <c r="O13" i="5"/>
  <c r="I26"/>
  <c r="I40" s="1"/>
  <c r="I57" s="1"/>
  <c r="I61" s="1"/>
  <c r="R48"/>
  <c r="M48"/>
  <c r="Y93" i="12"/>
  <c r="Y104" s="1"/>
  <c r="E104"/>
  <c r="Q12" i="5"/>
  <c r="K26"/>
  <c r="K40" s="1"/>
  <c r="K57" s="1"/>
  <c r="K61" s="1"/>
  <c r="M12"/>
  <c r="G65" i="2"/>
  <c r="P40" i="5"/>
  <c r="P57" s="1"/>
  <c r="P61" s="1"/>
  <c r="BS87" i="11"/>
  <c r="BS105" s="1"/>
  <c r="Y105" i="12"/>
  <c r="R18" i="5"/>
  <c r="X46" i="12"/>
  <c r="X61" s="1"/>
  <c r="X106" s="1"/>
  <c r="Y106" s="1"/>
  <c r="S59" i="2"/>
  <c r="L27" i="1"/>
  <c r="M55" i="5"/>
  <c r="R55"/>
  <c r="S55" s="1"/>
  <c r="Q26"/>
  <c r="E6" i="1"/>
  <c r="M10" i="5"/>
  <c r="L9"/>
  <c r="L26" s="1"/>
  <c r="R10"/>
  <c r="S10" s="1"/>
  <c r="M18"/>
  <c r="R30"/>
  <c r="L39"/>
  <c r="M39" s="1"/>
  <c r="Y21" i="12"/>
  <c r="Y35" s="1"/>
  <c r="Y46" s="1"/>
  <c r="Y61" s="1"/>
  <c r="E35"/>
  <c r="E46" s="1"/>
  <c r="E61" s="1"/>
  <c r="Z64"/>
  <c r="Z77" s="1"/>
  <c r="F77"/>
  <c r="D22" i="1"/>
  <c r="D37" s="1"/>
  <c r="BR108" i="11"/>
  <c r="E87" i="12"/>
  <c r="G26" i="5"/>
  <c r="I22" i="1"/>
  <c r="I37" s="1"/>
  <c r="H22"/>
  <c r="H37" s="1"/>
  <c r="H13"/>
  <c r="G68" i="2"/>
  <c r="F72"/>
  <c r="G72" s="1"/>
  <c r="M67"/>
  <c r="R67"/>
  <c r="S67" s="1"/>
  <c r="Q40" i="5"/>
  <c r="Q57" s="1"/>
  <c r="Q61" s="1"/>
  <c r="N57"/>
  <c r="N61" s="1"/>
  <c r="K22" i="1"/>
  <c r="K37" s="1"/>
  <c r="N46" i="2"/>
  <c r="J22" i="1"/>
  <c r="J37" s="1"/>
  <c r="J13"/>
  <c r="F46" i="12" l="1"/>
  <c r="C8" i="1"/>
  <c r="C12" s="1"/>
  <c r="O26" i="5"/>
  <c r="O40" s="1"/>
  <c r="O57" s="1"/>
  <c r="O61" s="1"/>
  <c r="S13"/>
  <c r="F8" i="1"/>
  <c r="J72" i="2"/>
  <c r="P68"/>
  <c r="P72" s="1"/>
  <c r="G57" i="5"/>
  <c r="F61"/>
  <c r="G61" s="1"/>
  <c r="Q52" i="2"/>
  <c r="S52" s="1"/>
  <c r="S53"/>
  <c r="S36"/>
  <c r="L16" i="1"/>
  <c r="R45" i="2"/>
  <c r="S45" s="1"/>
  <c r="E105" i="12"/>
  <c r="F87"/>
  <c r="F105" s="1"/>
  <c r="L17" i="1"/>
  <c r="S37" i="2"/>
  <c r="F10" i="1"/>
  <c r="S18" i="5"/>
  <c r="E7" i="1"/>
  <c r="E12" s="1"/>
  <c r="S12" i="5"/>
  <c r="S48"/>
  <c r="F26" i="1"/>
  <c r="F29" s="1"/>
  <c r="R10" i="2"/>
  <c r="M10"/>
  <c r="L33"/>
  <c r="Y16" i="16"/>
  <c r="X24"/>
  <c r="L25" i="1"/>
  <c r="L29" s="1"/>
  <c r="L33" s="1"/>
  <c r="R54" i="5"/>
  <c r="S54" s="1"/>
  <c r="F30" i="1"/>
  <c r="F32" s="1"/>
  <c r="S45" i="5"/>
  <c r="M52" i="2"/>
  <c r="K65"/>
  <c r="F61" i="12"/>
  <c r="M26" i="5"/>
  <c r="L40"/>
  <c r="S30"/>
  <c r="F16" i="1"/>
  <c r="R39" i="5"/>
  <c r="S39" s="1"/>
  <c r="M9"/>
  <c r="R9"/>
  <c r="S32"/>
  <c r="F18" i="1"/>
  <c r="S42" i="2"/>
  <c r="L18" i="1"/>
  <c r="L66" i="2"/>
  <c r="Z87" i="12"/>
  <c r="Z105" s="1"/>
  <c r="F20" i="1" l="1"/>
  <c r="S10" i="2"/>
  <c r="L6" i="1"/>
  <c r="L12" s="1"/>
  <c r="R33" i="2"/>
  <c r="C22" i="1"/>
  <c r="C37" s="1"/>
  <c r="I13"/>
  <c r="L57" i="5"/>
  <c r="M40"/>
  <c r="E22" i="1"/>
  <c r="E37" s="1"/>
  <c r="K13"/>
  <c r="R26" i="5"/>
  <c r="S9"/>
  <c r="F6" i="1"/>
  <c r="F12" s="1"/>
  <c r="F22" s="1"/>
  <c r="K68" i="2"/>
  <c r="Q65"/>
  <c r="S65" s="1"/>
  <c r="M65"/>
  <c r="M33"/>
  <c r="L46"/>
  <c r="M66"/>
  <c r="R66"/>
  <c r="S66" s="1"/>
  <c r="Z16" i="16"/>
  <c r="Z7" s="1"/>
  <c r="Z24" s="1"/>
  <c r="Y7"/>
  <c r="Y24" s="1"/>
  <c r="F106" i="12"/>
  <c r="F107" s="1"/>
  <c r="F108" s="1"/>
  <c r="F33" i="1"/>
  <c r="L34" s="1"/>
  <c r="L20"/>
  <c r="L21" s="1"/>
  <c r="K72" i="2" l="1"/>
  <c r="Q68"/>
  <c r="Q72" s="1"/>
  <c r="F37" i="1"/>
  <c r="L61" i="5"/>
  <c r="M61" s="1"/>
  <c r="M57"/>
  <c r="L22" i="1"/>
  <c r="L37" s="1"/>
  <c r="L13"/>
  <c r="S26" i="5"/>
  <c r="R40"/>
  <c r="R46" i="2"/>
  <c r="S46" s="1"/>
  <c r="S33"/>
  <c r="L68"/>
  <c r="M46"/>
  <c r="S40" i="5" l="1"/>
  <c r="R57"/>
  <c r="R68" i="2"/>
  <c r="L72"/>
  <c r="M72" s="1"/>
  <c r="M68"/>
  <c r="R72" l="1"/>
  <c r="S72" s="1"/>
  <c r="S68"/>
  <c r="S57" i="5"/>
  <c r="R61"/>
  <c r="S61" s="1"/>
  <c r="S376" i="15"/>
  <c r="S380" s="1"/>
  <c r="S382" s="1"/>
  <c r="U376"/>
  <c r="T376"/>
  <c r="U380"/>
  <c r="U382" s="1"/>
  <c r="T380"/>
  <c r="T382" s="1"/>
</calcChain>
</file>

<file path=xl/comments1.xml><?xml version="1.0" encoding="utf-8"?>
<comments xmlns="http://schemas.openxmlformats.org/spreadsheetml/2006/main">
  <authors>
    <author/>
  </authors>
  <commentList>
    <comment ref="D3" authorId="0">
      <text>
        <r>
          <rPr>
            <b/>
            <sz val="9"/>
            <color indexed="8"/>
            <rFont val="Tahoma"/>
            <family val="2"/>
            <charset val="238"/>
          </rPr>
          <t xml:space="preserve">Enhofferne_Erzsebet:
</t>
        </r>
      </text>
    </comment>
  </commentList>
</comments>
</file>

<file path=xl/sharedStrings.xml><?xml version="1.0" encoding="utf-8"?>
<sst xmlns="http://schemas.openxmlformats.org/spreadsheetml/2006/main" count="3055" uniqueCount="1356">
  <si>
    <t>forintban</t>
  </si>
  <si>
    <t>KIADÁSOK</t>
  </si>
  <si>
    <t>2016.évi eredeti ktv.</t>
  </si>
  <si>
    <t>2016.évi ktv I. mód.</t>
  </si>
  <si>
    <t>Változás
+, -</t>
  </si>
  <si>
    <t>2016.évi módosított ktv.</t>
  </si>
  <si>
    <t xml:space="preserve">2016. évi teljesítés
</t>
  </si>
  <si>
    <t>BEVÉTELEK</t>
  </si>
  <si>
    <t xml:space="preserve">A. MŰKÖDÉSI KÖLTSÉGVETÉSI MÉRLEG </t>
  </si>
  <si>
    <t>I. Működési kiadások</t>
  </si>
  <si>
    <t>II. Működési bevételek</t>
  </si>
  <si>
    <t xml:space="preserve">  1. Személyi juttatások</t>
  </si>
  <si>
    <t>13. Működési célú támogatások ÁHT-n belülről</t>
  </si>
  <si>
    <t xml:space="preserve">  2. Munkaadókat terhelő jár. és szociális hozzájárulási adó</t>
  </si>
  <si>
    <t>14. Közhatalmi bevételek</t>
  </si>
  <si>
    <t xml:space="preserve">  3. Dologi kiadások </t>
  </si>
  <si>
    <t>15. Működési bevételek</t>
  </si>
  <si>
    <t xml:space="preserve">  4. Ellátottak pénzbeli juttatásai</t>
  </si>
  <si>
    <t>16. Működési célú átvett pénzeszközök ÁHT-n kívülről</t>
  </si>
  <si>
    <t xml:space="preserve">  5. Egyéb működési célú kiadások</t>
  </si>
  <si>
    <r>
      <t xml:space="preserve">A. Működési kiadások össz. </t>
    </r>
    <r>
      <rPr>
        <sz val="12"/>
        <color indexed="8"/>
        <rFont val="Times New Roman"/>
        <family val="1"/>
        <charset val="238"/>
      </rPr>
      <t>(1+...+5)</t>
    </r>
  </si>
  <si>
    <r>
      <t xml:space="preserve">A. Működési bevételek össz. </t>
    </r>
    <r>
      <rPr>
        <sz val="12"/>
        <color indexed="8"/>
        <rFont val="Times New Roman"/>
        <family val="1"/>
        <charset val="238"/>
      </rPr>
      <t>(20+...+26)</t>
    </r>
  </si>
  <si>
    <t>működési egyenleg</t>
  </si>
  <si>
    <t>B. FELHALMOZÁSI KÖLTSÉGVETÉSI MÉRLEG</t>
  </si>
  <si>
    <t>III. Felhalmozási kiadások</t>
  </si>
  <si>
    <t>IV. Felhalmozási bevételek</t>
  </si>
  <si>
    <t xml:space="preserve">  6. Beruházások</t>
  </si>
  <si>
    <t>17. Felhalmozási bevételek</t>
  </si>
  <si>
    <t xml:space="preserve">  7. Felújítások</t>
  </si>
  <si>
    <t>18. Felhalmozási célú támogatások ÁHT-n belülről</t>
  </si>
  <si>
    <t xml:space="preserve">  8. Egyéb felhalmozási célú kiadások</t>
  </si>
  <si>
    <t>19. Felhalmozási c. átvett pénzeszk. ÁHT-n kívülről</t>
  </si>
  <si>
    <r>
      <t>B.Felhalmozási kiadások össz.</t>
    </r>
    <r>
      <rPr>
        <sz val="12"/>
        <color indexed="8"/>
        <rFont val="Times New Roman"/>
        <family val="1"/>
        <charset val="238"/>
      </rPr>
      <t>(6+….+8)</t>
    </r>
  </si>
  <si>
    <r>
      <t xml:space="preserve">B. Felhalm. bevételek össz. </t>
    </r>
    <r>
      <rPr>
        <sz val="12"/>
        <color indexed="8"/>
        <rFont val="Times New Roman"/>
        <family val="1"/>
        <charset val="238"/>
      </rPr>
      <t>(26+...+31)</t>
    </r>
  </si>
  <si>
    <t>felhalmozási egyenleg</t>
  </si>
  <si>
    <t>KÖLTSÉGVETÉSI KIADÁSOK ÖSSZESEN (A+B)</t>
  </si>
  <si>
    <t>KÖLTSÉGVETÉSI BEVÉTELEK ÖSSZESEN (A+B)</t>
  </si>
  <si>
    <t xml:space="preserve"> </t>
  </si>
  <si>
    <t>C. FINANSZÍROZÁSI MÉRLEG</t>
  </si>
  <si>
    <t>V. Finanszírozási kiadások</t>
  </si>
  <si>
    <t>VI. Finanszírozási bevételek</t>
  </si>
  <si>
    <t xml:space="preserve">  9. Belföldi finanszírozás kiadásai</t>
  </si>
  <si>
    <t>20. Lekötött bankbetétek megszüntetésének bevételei</t>
  </si>
  <si>
    <t>11. Központi, irányító szervi támogatás folyósítása</t>
  </si>
  <si>
    <t>22. Maradvány igénybevétele</t>
  </si>
  <si>
    <t>23. Központi, irányító szervi támogatás folyósítása</t>
  </si>
  <si>
    <t>Belső finanszírozási kiadások</t>
  </si>
  <si>
    <t>Belső finanszírozási bevételek</t>
  </si>
  <si>
    <t>10. Belföldi értékpapírok kiadásai</t>
  </si>
  <si>
    <t>21. Belföldi értékpapírok bevételei</t>
  </si>
  <si>
    <t>12. Külföldi finanszírozás kiadásai</t>
  </si>
  <si>
    <t>24. Külföldi finanszírozás bevételei</t>
  </si>
  <si>
    <t>Külső finanszírozási kiadások</t>
  </si>
  <si>
    <t>Külső finanszírozási bevételek</t>
  </si>
  <si>
    <r>
      <t xml:space="preserve">C.Finanszírozási kiadások össz. </t>
    </r>
    <r>
      <rPr>
        <sz val="12"/>
        <color indexed="8"/>
        <rFont val="Times New Roman"/>
        <family val="1"/>
        <charset val="238"/>
      </rPr>
      <t>(9+…..+12)</t>
    </r>
  </si>
  <si>
    <r>
      <t xml:space="preserve">C.Finanszírozási bevételek össz. </t>
    </r>
    <r>
      <rPr>
        <sz val="12"/>
        <color indexed="8"/>
        <rFont val="Times New Roman"/>
        <family val="1"/>
        <charset val="238"/>
      </rPr>
      <t>(9+…..+12)</t>
    </r>
  </si>
  <si>
    <t>Finanszírozási egyenleg</t>
  </si>
  <si>
    <t xml:space="preserve">D. Korrekció: Intézmények és PH támogatása </t>
  </si>
  <si>
    <t>KIADÁSOK ÖSSZESEN (A+B+C+D)</t>
  </si>
  <si>
    <t>BEVÉTELEK ÖSSZESEN (A+B+C+D)</t>
  </si>
  <si>
    <t>Belső finanszírozás</t>
  </si>
  <si>
    <t>18. Fejlesztési célú hitel törlesztése</t>
  </si>
  <si>
    <t>32. Működési pénzmaradvány</t>
  </si>
  <si>
    <t>19. Fejlesztési célú kötvény törlesztése</t>
  </si>
  <si>
    <t>33. Felhalmozási pénzmaradvány</t>
  </si>
  <si>
    <t>Külső finanszírozás</t>
  </si>
  <si>
    <t>38. Működési célú kölcsön</t>
  </si>
  <si>
    <t>41. Felhalmozási célú kötvénykibocsájtás</t>
  </si>
  <si>
    <t>Megnevezés</t>
  </si>
  <si>
    <t xml:space="preserve">Intézmények és PH </t>
  </si>
  <si>
    <t>Önkormányzati feladatok</t>
  </si>
  <si>
    <t>Önkormányzat összesen</t>
  </si>
  <si>
    <t>Főkönyvi számlák megjelőlésével</t>
  </si>
  <si>
    <t>2016. évi teljesítés %-ban</t>
  </si>
  <si>
    <t>1.</t>
  </si>
  <si>
    <t>2.</t>
  </si>
  <si>
    <t>3.</t>
  </si>
  <si>
    <t>7.</t>
  </si>
  <si>
    <t>8.</t>
  </si>
  <si>
    <t>12.</t>
  </si>
  <si>
    <t>13.</t>
  </si>
  <si>
    <t>A. MŰKÖDÉSI BEVÉTELEK</t>
  </si>
  <si>
    <t>I. Működési célú támogatások ÁHT-n belülről</t>
  </si>
  <si>
    <t xml:space="preserve">    1. Önkorm. működési költségvetési támogatása </t>
  </si>
  <si>
    <t xml:space="preserve">    2. Elvonások és befízetések bevételei</t>
  </si>
  <si>
    <t xml:space="preserve">    3. Működési célú kölcsönök visszatérülése</t>
  </si>
  <si>
    <t xml:space="preserve">    4. Támogatásértékű bevétel társadalombiztosítástól (OEP)</t>
  </si>
  <si>
    <t xml:space="preserve">    5. Egyéb működési célú támogatások</t>
  </si>
  <si>
    <t>II. Közhatalmi bevételek</t>
  </si>
  <si>
    <t xml:space="preserve">    1. Helyi adók </t>
  </si>
  <si>
    <t xml:space="preserve">        Ebből: Telekadó</t>
  </si>
  <si>
    <t xml:space="preserve">                   Építményadó</t>
  </si>
  <si>
    <t xml:space="preserve">                   Talajterhelési díj, jövedéki adó</t>
  </si>
  <si>
    <t xml:space="preserve">    3. Gépjárműadó </t>
  </si>
  <si>
    <t xml:space="preserve">    4. Egyéb közhatalmi bevételek </t>
  </si>
  <si>
    <t>III.  Működési bevételek</t>
  </si>
  <si>
    <t xml:space="preserve">    3.11 Étkezési bevételek (ÁFA-val)</t>
  </si>
  <si>
    <t xml:space="preserve">    3.12 Táborok, rendezvények, egyéb programok (ÁFA-val)</t>
  </si>
  <si>
    <t xml:space="preserve">    3.2  Egyéb működési bevételek </t>
  </si>
  <si>
    <t xml:space="preserve">    3.3  Egyéb sajátos működési bevételek</t>
  </si>
  <si>
    <t>IV.   Működési célú átvett pénzeszközök ÁHT-n kívülről</t>
  </si>
  <si>
    <t xml:space="preserve">    1. Működési célú kölcsönök visszatérülése</t>
  </si>
  <si>
    <t xml:space="preserve">    2. Működési célú átvett pénzeszközök</t>
  </si>
  <si>
    <r>
      <t>A. Működési bevételek össz.</t>
    </r>
    <r>
      <rPr>
        <sz val="12"/>
        <rFont val="Times New Roman"/>
        <family val="1"/>
        <charset val="238"/>
      </rPr>
      <t xml:space="preserve"> (I+...+IV.)</t>
    </r>
  </si>
  <si>
    <t>B. FELHALMOZÁSI BEVÉTELEK</t>
  </si>
  <si>
    <t>I. Felhalmozási bevételek</t>
  </si>
  <si>
    <t>II. Felhalmozási célú támogatások ÁHT-n belülről</t>
  </si>
  <si>
    <t xml:space="preserve">    1. Önkorm. felhalmozási célú támogatása </t>
  </si>
  <si>
    <t xml:space="preserve">    2. Felhalmozási célú kölcsönök visszatérülése</t>
  </si>
  <si>
    <t xml:space="preserve">    3. Felhalmozási célú pénzeszközátvétel</t>
  </si>
  <si>
    <t xml:space="preserve">III.Felhalmozási célú átvett pénzeszközö ÁHT-n kívülről </t>
  </si>
  <si>
    <t xml:space="preserve">    1. Felhalmozási célú kölcsönök visszatérülése</t>
  </si>
  <si>
    <t xml:space="preserve">    2. Egyéb felhalmozási célú átvett pénzeszközök</t>
  </si>
  <si>
    <r>
      <t>B. Felhalmozási bevételek össz.</t>
    </r>
    <r>
      <rPr>
        <sz val="12"/>
        <rFont val="Times New Roman"/>
        <family val="1"/>
        <charset val="238"/>
      </rPr>
      <t xml:space="preserve"> (I+...+III)</t>
    </r>
  </si>
  <si>
    <t>Költségvetési bevételek összesen (A+B)</t>
  </si>
  <si>
    <t xml:space="preserve">C. FINANSZÍROZÁSI BEVÉTELEK </t>
  </si>
  <si>
    <t>I.   Belföldi finanszírozás bevételei ÁHT-n kívülről</t>
  </si>
  <si>
    <t xml:space="preserve">   1. Hosszú lejáratú hitelek, kölcsönök felvétele</t>
  </si>
  <si>
    <t xml:space="preserve">   2. Rövid lejáratú hitelek, kölcsönök felvétele</t>
  </si>
  <si>
    <t>II.  Lekötött bankbetétek megszüntetése</t>
  </si>
  <si>
    <t xml:space="preserve">  1. Hosszú lejáratú lekötött bankbetétek megszüntetése</t>
  </si>
  <si>
    <t xml:space="preserve">  2. Rövid lejáratú bankbetétek megszüntetése</t>
  </si>
  <si>
    <t>III. Maradvány igénybevétele</t>
  </si>
  <si>
    <t xml:space="preserve">   1. Maradvány igénybevétele - Működési</t>
  </si>
  <si>
    <t xml:space="preserve">   2. Maradvány igénybevétele - Felhalmozási</t>
  </si>
  <si>
    <t xml:space="preserve">   1. Központi támogatás - Működési</t>
  </si>
  <si>
    <t xml:space="preserve">   2. Irányító szervi támogatás - Működési</t>
  </si>
  <si>
    <t xml:space="preserve">   3. Központi támogatás  - Felhalmozási</t>
  </si>
  <si>
    <t xml:space="preserve">   4. Irányító szervi támogatás - Felhalmozási</t>
  </si>
  <si>
    <t>C. Finanszírozási bevételek összesen (I+…+IV)</t>
  </si>
  <si>
    <t>Működési finanszírozás bevételei</t>
  </si>
  <si>
    <t>Felhalmozási finanszírozás bevételei</t>
  </si>
  <si>
    <t>Összesen (A+B+C)</t>
  </si>
  <si>
    <t xml:space="preserve">Korrekció működés: Intézmények és PH támogatása </t>
  </si>
  <si>
    <t>Korrekció felhalmozás: Intézmények és PH támogatása</t>
  </si>
  <si>
    <t xml:space="preserve">D.Korrekció összesen: Intézmények és PH támogatása </t>
  </si>
  <si>
    <t>Bevételek összesen (A+B+C+D)</t>
  </si>
  <si>
    <t>M e g n e v e z é s</t>
  </si>
  <si>
    <t>2016.évi eredeti ktv</t>
  </si>
  <si>
    <t>2016.évi ktv               I. mód.</t>
  </si>
  <si>
    <t>2016. évi teljesítés</t>
  </si>
  <si>
    <t>ellenőrző képlet</t>
  </si>
  <si>
    <t>I. POLGÁRMESTERI HIVATAL</t>
  </si>
  <si>
    <t>Működési célú átvett pénzeszközök</t>
  </si>
  <si>
    <t>Egyéb működési célú támogatások ÁHT-n belül</t>
  </si>
  <si>
    <t>Kpi-ktv-i szervtől műk.c.tám. - Népszavazás 2016.</t>
  </si>
  <si>
    <t>Munkaügyi Központ - nyári diákmunka</t>
  </si>
  <si>
    <t>Egyéb működési célú támogatások ÁHT-n belül összesen:</t>
  </si>
  <si>
    <t xml:space="preserve">Egyéb működési célú támogatások ÁHT-n kívül </t>
  </si>
  <si>
    <t>Ellátottak pénzbeli juttatásainak visszafizetése</t>
  </si>
  <si>
    <t>Egyéb működési célú támogatások ÁHT-n kívül összesen:</t>
  </si>
  <si>
    <r>
      <t>Műk.célra átvett pénzeszk. Összesen :</t>
    </r>
    <r>
      <rPr>
        <sz val="11"/>
        <rFont val="Times New Roman"/>
        <family val="1"/>
        <charset val="238"/>
      </rPr>
      <t xml:space="preserve"> </t>
    </r>
  </si>
  <si>
    <t>Működési célú átvett pénzeszközök ÁHT-n kívül</t>
  </si>
  <si>
    <t>Működési célú átvett pénzeszközök ÁHT-n kívül összesen:</t>
  </si>
  <si>
    <r>
      <t>Működési célú átvett pénzeszközök össz.:</t>
    </r>
    <r>
      <rPr>
        <sz val="11"/>
        <rFont val="Times New Roman"/>
        <family val="1"/>
        <charset val="238"/>
      </rPr>
      <t xml:space="preserve"> (1+2)</t>
    </r>
  </si>
  <si>
    <t>Felhalmozási célra átvett pénzeszköz</t>
  </si>
  <si>
    <t>Támogatásértékű  felhalmozási bevétel ÁHT-én belülről</t>
  </si>
  <si>
    <t>Támogatásértékű  felhalmozási bevételek</t>
  </si>
  <si>
    <t>Államháztartáson kívülről</t>
  </si>
  <si>
    <r>
      <t>Államháztartáson kívülről összesen</t>
    </r>
    <r>
      <rPr>
        <sz val="11"/>
        <rFont val="Times New Roman"/>
        <family val="1"/>
        <charset val="238"/>
      </rPr>
      <t>:</t>
    </r>
  </si>
  <si>
    <r>
      <t>Felhalmozási célú átvett pénzeszköz össz.:</t>
    </r>
    <r>
      <rPr>
        <sz val="11"/>
        <rFont val="Times New Roman"/>
        <family val="1"/>
        <charset val="238"/>
      </rPr>
      <t xml:space="preserve"> (1+2)</t>
    </r>
  </si>
  <si>
    <t>I. POLGÁRMESTERI HIVATAL MINDÖSSZESEN:</t>
  </si>
  <si>
    <t>II. INTÉZMÉNYEK</t>
  </si>
  <si>
    <t>Egyéb működési célú támogatások ÁHT-n belülről</t>
  </si>
  <si>
    <t>Ifjúsági és Sportközpont</t>
  </si>
  <si>
    <t xml:space="preserve"> - "Szemünk előtt a kultúra" projekt tám.</t>
  </si>
  <si>
    <t>Egyesített Bölcsődék</t>
  </si>
  <si>
    <t xml:space="preserve"> - OGY, OEP választás - távolléti díj</t>
  </si>
  <si>
    <t>Napsugár Óvoda</t>
  </si>
  <si>
    <t>Kertvárosi Összevont Óvoda</t>
  </si>
  <si>
    <t>Palotai Vadvirág Óvoda</t>
  </si>
  <si>
    <t>Micimackó Óvoda</t>
  </si>
  <si>
    <t>Mosolykert Óvoda</t>
  </si>
  <si>
    <t>Pestújhelyi Óvoda</t>
  </si>
  <si>
    <t>Molnár Viktor Óvoda</t>
  </si>
  <si>
    <t>Mozdonyvezető Óvoda</t>
  </si>
  <si>
    <t>Ákombákom Óvoda</t>
  </si>
  <si>
    <t>Egyesített Szociális Intézmények</t>
  </si>
  <si>
    <t>Csokonai Művelődési Központ</t>
  </si>
  <si>
    <t>Csokonai Kulturális és Sportközpont</t>
  </si>
  <si>
    <t xml:space="preserve"> - NKA 3909/00722-Rákospalotai Múzeum-műtárgy beszerzés</t>
  </si>
  <si>
    <r>
      <t xml:space="preserve"> - NKA3437/0227- A XV.kerületi temető történetekönyv</t>
    </r>
    <r>
      <rPr>
        <sz val="10"/>
        <rFont val="Times New Roman"/>
        <family val="1"/>
        <charset val="238"/>
      </rPr>
      <t xml:space="preserve"> kiadás</t>
    </r>
  </si>
  <si>
    <t xml:space="preserve"> - NKA 105106/07064- Palota galéria kiállításainak rendezése</t>
  </si>
  <si>
    <t xml:space="preserve"> - NKA786104/00024-rendhagyó népzenei tanórák kisiskolásoknak</t>
  </si>
  <si>
    <t xml:space="preserve"> - NKA 786108/00115-gyermek és felnőtt táncházak megrendezése</t>
  </si>
  <si>
    <t xml:space="preserve"> - NKA 89271/16 Speci Art Fesztivál rendezése</t>
  </si>
  <si>
    <t xml:space="preserve"> - Ecseri Önk. Tám.CD kiadás</t>
  </si>
  <si>
    <t xml:space="preserve"> - XVII.ker.tám."Rákos-mente népdalkincse"</t>
  </si>
  <si>
    <t xml:space="preserve"> - Emberi Er.Forr.Min.támogatás "Kulissza alkotó klub"</t>
  </si>
  <si>
    <t xml:space="preserve"> NKA - Egyéb</t>
  </si>
  <si>
    <t>Egészségügyi Intézmény</t>
  </si>
  <si>
    <t xml:space="preserve"> - TÁMOP - dohányzás leszokás támogató pontol kialakítása</t>
  </si>
  <si>
    <t xml:space="preserve"> -  XV. Polgármesteri Hivatal (népszavazás - távolléti díj)</t>
  </si>
  <si>
    <t>Gazdasági és Működtetési Központ</t>
  </si>
  <si>
    <t xml:space="preserve"> - Munkaügyi Központ - közfoglalkoztatás</t>
  </si>
  <si>
    <t xml:space="preserve"> - KLIK Hubay tandíj</t>
  </si>
  <si>
    <t>Hartyán-Árendás Óvoda</t>
  </si>
  <si>
    <t>Rákospalotai Kertvárosi Óvoda</t>
  </si>
  <si>
    <t>Rákospalotai Hetedhét Óvoda</t>
  </si>
  <si>
    <t>Egyesített szociális Intézmény</t>
  </si>
  <si>
    <t>Egyéb működési célú támogatások ÁHT-n belülről összesen:</t>
  </si>
  <si>
    <t>Működési célú támogatások ÁHT-n kivülről</t>
  </si>
  <si>
    <t xml:space="preserve"> - MVM OVIT Országos Villamostávvezeték Zrt. - Újpalotai Napok</t>
  </si>
  <si>
    <t>Kossuth Lajos Általános Iskola</t>
  </si>
  <si>
    <t>Károly Róbert SZKI</t>
  </si>
  <si>
    <t>Kontyfa Középiskola</t>
  </si>
  <si>
    <t>László Gyula Gimnázium</t>
  </si>
  <si>
    <t>Száraznád NOK</t>
  </si>
  <si>
    <t>Működési célú támogatások ÁHT-n kivülről összesen:</t>
  </si>
  <si>
    <t>OEP-támogatás</t>
  </si>
  <si>
    <r>
      <t>Működési célú átvett pénzeszköz össz.:</t>
    </r>
    <r>
      <rPr>
        <sz val="11"/>
        <rFont val="Times New Roman"/>
        <family val="1"/>
        <charset val="238"/>
      </rPr>
      <t xml:space="preserve"> (1+2+3)</t>
    </r>
  </si>
  <si>
    <t>Felhalmozási célú támogatások</t>
  </si>
  <si>
    <t>Felhalmozási célú támogatások ÁHT-n belül</t>
  </si>
  <si>
    <t>Czabán Általános Iskola</t>
  </si>
  <si>
    <t>Intézményi lekötött PM</t>
  </si>
  <si>
    <t>Hartyán Általános Iskola</t>
  </si>
  <si>
    <t>Kolozsvár utcai Általános Iskola</t>
  </si>
  <si>
    <t>Neptun Általános Iskola</t>
  </si>
  <si>
    <t>Szent Korona Általános Iskola</t>
  </si>
  <si>
    <t>Szociális Foglalkoztató</t>
  </si>
  <si>
    <t xml:space="preserve">            MEH -Pályázat</t>
  </si>
  <si>
    <t>KEOP pályázat</t>
  </si>
  <si>
    <t>Csokonai Kulturális és Sporközpont</t>
  </si>
  <si>
    <t xml:space="preserve"> NKA - Műtárgy vásárlás</t>
  </si>
  <si>
    <t>Munkaügyi Központ - közfoglalkoztatás</t>
  </si>
  <si>
    <t>Felhalmozási célú támogatások ÁHT-n belül összesen:</t>
  </si>
  <si>
    <t>Egyéb felhalmozási célú átvett pénzeszközök ÁHT-n kívül</t>
  </si>
  <si>
    <t>Magyar Diabetes Társaság - pályázat</t>
  </si>
  <si>
    <t>Egyesített Szociális Intézmény</t>
  </si>
  <si>
    <t>KDNP - adomány</t>
  </si>
  <si>
    <t>Egyéb felhalmozási célú átvett pénzeszközök ÁHT-n kívül összesen:</t>
  </si>
  <si>
    <t>II. INTÉZMÉNYEK MINDÖSSZESEN:</t>
  </si>
  <si>
    <t>III. ÖNKORMÁNYZAT</t>
  </si>
  <si>
    <t>Bérkompenzáció</t>
  </si>
  <si>
    <t>Ágazati pótlék</t>
  </si>
  <si>
    <t>Szociális foglalkoztatási támogatás (ESZI)</t>
  </si>
  <si>
    <t>Utcai foglalkoztatás (ESZI)</t>
  </si>
  <si>
    <t>Fogyatékos gyerekek ellátása</t>
  </si>
  <si>
    <t>Mezei őrszolgálat</t>
  </si>
  <si>
    <t>Patyolat utcai óvoda fejlesztése-KMOP-4.6.1-11-2012-0026</t>
  </si>
  <si>
    <t>Fő úti Bölcsőde fejlesztés KMOP-4.5.2-09</t>
  </si>
  <si>
    <t>Zsókavár II.ütem -KMOP-5.1.1/C-09-2f</t>
  </si>
  <si>
    <t>Zsókavár III.ütem ESZA KMOP-5.1.1/B-12k-2012-0002</t>
  </si>
  <si>
    <t>Fő úti bölcsöde fejlesztés KMOP-4.5.2-11-2012-0032</t>
  </si>
  <si>
    <t>Kontyfa Iskola KEOP-5.5.0/A/12-2013-0275</t>
  </si>
  <si>
    <t>Neptun Iskola (Magyar-Kínai Kéttannyelvű)</t>
  </si>
  <si>
    <r>
      <t>Műk.célú támogatások összesen:</t>
    </r>
    <r>
      <rPr>
        <sz val="11"/>
        <rFont val="Times New Roman"/>
        <family val="1"/>
        <charset val="238"/>
      </rPr>
      <t xml:space="preserve"> </t>
    </r>
  </si>
  <si>
    <t>Siemens  Zrt. - adomány</t>
  </si>
  <si>
    <t>Nonprofit szervezettől korábbi évek támogatásai visszafizetése</t>
  </si>
  <si>
    <t>Felhalmozási célú pénzeszközátvétel ÁHT-n belül</t>
  </si>
  <si>
    <t>Zsókavár III. ütem Szociális városrehabilitáció KMOP-5.1.1/B-12-k-2012-0002</t>
  </si>
  <si>
    <t>Neptun Iskola felújítás (Magyar-Kínai Kéttannyelvű)</t>
  </si>
  <si>
    <t>VEKOP 5.3.1-15/2016-00010 Kerékpárút építéshez Ingatlan vétel</t>
  </si>
  <si>
    <t>Felhalmozási célú pénzeszközátvétel ÁHT-n belül összesen:</t>
  </si>
  <si>
    <t>Járdafelújításra átvett pe. háztartásoktól</t>
  </si>
  <si>
    <t>ALDI - Játszótér felújítás - Erdőkerülő u. "Szirom játszótér"</t>
  </si>
  <si>
    <t>IV. ÖNKORMÁNYZAT MINDÖSSZESEN:</t>
  </si>
  <si>
    <t>V.</t>
  </si>
  <si>
    <t>ÖNKORMÁNYZAT ÖSSZESEN:</t>
  </si>
  <si>
    <t>Egyéb belf.forrásból műk.c.rövid lej.hitel felvét  (452-311)</t>
  </si>
  <si>
    <t>Vállalkozástól származó műk.c.rövid lej.hitel</t>
  </si>
  <si>
    <t>Egyéb belf.forr. műk.c.rövid lej.hitel felvét összesen</t>
  </si>
  <si>
    <t>Működési célú támogatások összesen:</t>
  </si>
  <si>
    <t>Felhalmozási célra átvett pénzeszk. összesen:</t>
  </si>
  <si>
    <t>Előző évi ktgv. visszatérülés</t>
  </si>
  <si>
    <t>ÖNKORMÁNYZAT ÁTVETT PÉNZESZKÖZEI MINDÖSSZESEN:</t>
  </si>
  <si>
    <t>VI.</t>
  </si>
  <si>
    <t>Működési célú kölcsönök visszatérülése</t>
  </si>
  <si>
    <t>1. Támogatások és befízetések bevételei ÁHT-n belül</t>
  </si>
  <si>
    <t>1. Támogatások és befízetések bevételei ÁHT-n belül összesen:</t>
  </si>
  <si>
    <t>2. Működési célú kölcsönök visszatérülése ÁHT-n kívül</t>
  </si>
  <si>
    <t>Sódergödör lakótelep fűtés, melegvíz</t>
  </si>
  <si>
    <t>Háztartásoktól műk.c.visszatérítendő tám, kölcsönök - Szociális kölcsön visszafizetés</t>
  </si>
  <si>
    <t>2. Működési célú kölcsönök visszatérülése ÁHT-n kívül összesen:</t>
  </si>
  <si>
    <r>
      <t>Működési célú kölcsönök össz.:</t>
    </r>
    <r>
      <rPr>
        <sz val="11"/>
        <rFont val="Times New Roman"/>
        <family val="1"/>
        <charset val="238"/>
      </rPr>
      <t xml:space="preserve"> (1+2)</t>
    </r>
  </si>
  <si>
    <t>VII.</t>
  </si>
  <si>
    <t>Felhalmozási célú kölcsönök visszatérülése</t>
  </si>
  <si>
    <t>1. Felhalmozási célú kölcsönök visszatérülése ÁHT-n belül</t>
  </si>
  <si>
    <t>1. Felhalmozási c.kölcsönök visszatérülése ÁHT-n belül összesen:</t>
  </si>
  <si>
    <t>2. Felhalmozási célú kölcsönök visszatérülése ÁHT-n kívül</t>
  </si>
  <si>
    <t>Munkáltatói kölcsönből visszatérülés</t>
  </si>
  <si>
    <t>Helyi lak.ép.támogatás</t>
  </si>
  <si>
    <t>Társasházak és Szövetkezeti lakások  felújítására adott kölcsön visszafizetése</t>
  </si>
  <si>
    <t>2. Felhalmozási c.kölcsönök visszatérülése ÁHT-n kívül összesen:</t>
  </si>
  <si>
    <r>
      <t>Felhalmozási célú kölcsönök össz.:</t>
    </r>
    <r>
      <rPr>
        <sz val="11"/>
        <rFont val="Times New Roman"/>
        <family val="1"/>
        <charset val="238"/>
      </rPr>
      <t xml:space="preserve"> (1+2)</t>
    </r>
  </si>
  <si>
    <t>Működési célú támogatások</t>
  </si>
  <si>
    <t>Fejlesztési célú támogatások</t>
  </si>
  <si>
    <t>Költségvetési támogatás összesen</t>
  </si>
  <si>
    <t>Elszámolásból származó bevételek</t>
  </si>
  <si>
    <t>Települési önkormányzatok támogatásai</t>
  </si>
  <si>
    <t>Működési célú költségvetési és kiegészítő támogatások</t>
  </si>
  <si>
    <t>I. INTÉZMÉNYEK</t>
  </si>
  <si>
    <t xml:space="preserve">Egyesített Szociális Intézmény </t>
  </si>
  <si>
    <t>Ifjúsági és Sport Központ</t>
  </si>
  <si>
    <t xml:space="preserve">Gazdasági Működtetési Központ </t>
  </si>
  <si>
    <t>Hartyán-Árendás Összevont Óvoda</t>
  </si>
  <si>
    <t>Napsugár Összevont Óvoda</t>
  </si>
  <si>
    <t xml:space="preserve"> Intézmények összesen:</t>
  </si>
  <si>
    <t>II. POLGÁRMESTERI HIVATAL</t>
  </si>
  <si>
    <t>Hivatal</t>
  </si>
  <si>
    <t>Polgármesteri Hivatal összesen:</t>
  </si>
  <si>
    <t>III. XV.ker. ÖNKORMÁNYZAT</t>
  </si>
  <si>
    <t>XV.ker. Önkormányzat</t>
  </si>
  <si>
    <t>XV.ker. Önkormányzat összesen:</t>
  </si>
  <si>
    <t>III. ÖNKORMÁNYZAT ÖSSZESEN:</t>
  </si>
  <si>
    <t>Intézmények</t>
  </si>
  <si>
    <t xml:space="preserve">Polgármesteri Hivatal </t>
  </si>
  <si>
    <t>XV.ker.Önkormányzat</t>
  </si>
  <si>
    <t>ÖNKORMÁNYZAT MINDÖSSZESEN:</t>
  </si>
  <si>
    <t>GMK-ból állami fenntartású intézmények</t>
  </si>
  <si>
    <t>Hubay Jenő Zeneiskola</t>
  </si>
  <si>
    <t>Károly Róbert Általános Iskola</t>
  </si>
  <si>
    <t>Rákospalotai Kossuth Lajos Általános Isk.</t>
  </si>
  <si>
    <t>Pestújhelyi Általános Iskola</t>
  </si>
  <si>
    <t>Magyar-Kínai Általános Iskola</t>
  </si>
  <si>
    <t>Dózsa Gy.Gimn. és Táncműv.Szakközépisk.</t>
  </si>
  <si>
    <t>Kontyfa Középiskola és Általános Iskola</t>
  </si>
  <si>
    <t>Kerületi Nevelési Tanácsadó</t>
  </si>
  <si>
    <t>Állami fenntartású intézmények</t>
  </si>
  <si>
    <t>A. MŰKÖDÉSI KIADÁSOK</t>
  </si>
  <si>
    <t xml:space="preserve">  I. Személyi juttatások</t>
  </si>
  <si>
    <t xml:space="preserve">    1.1 Foglalkoztatottak személyi juttatásai</t>
  </si>
  <si>
    <t xml:space="preserve">    1.2 Külső személyi juttatások</t>
  </si>
  <si>
    <t xml:space="preserve"> II. Munkaadókat terhelő jár. és szociális hozzájárulási adó</t>
  </si>
  <si>
    <t>III. Dologi kiadások</t>
  </si>
  <si>
    <t xml:space="preserve">    3.1 Egyéb dologi kiadások</t>
  </si>
  <si>
    <t xml:space="preserve">    3.21 Étkezési kiadások (ÁFA-val)</t>
  </si>
  <si>
    <t xml:space="preserve">    3.22 Táborok, rendezvények, egyéb programok (ÁFA-val)</t>
  </si>
  <si>
    <t>IV.  Ellátottak pénzbeli juttatásai</t>
  </si>
  <si>
    <t>V. Egyéb működési célú kiadások</t>
  </si>
  <si>
    <t xml:space="preserve">   5.0 Elvonások és befizetések</t>
  </si>
  <si>
    <t xml:space="preserve">   5.1 Egyéb működési célú támogatások ÁHT-n belülre</t>
  </si>
  <si>
    <t xml:space="preserve">   5.2 Működési célú kölcsönök ÁHT-n belülre</t>
  </si>
  <si>
    <t xml:space="preserve">   5.3 Egyéb működési célú támogatások ÁHT-n kívülre</t>
  </si>
  <si>
    <t xml:space="preserve">   5.4 Működési célú kölcsönök ÁHT-n kívülre</t>
  </si>
  <si>
    <t xml:space="preserve">   5.5 Általános tartalék</t>
  </si>
  <si>
    <t xml:space="preserve">   5.6 Működési céltartalék</t>
  </si>
  <si>
    <r>
      <t xml:space="preserve">A. Működési kiadások összesen  </t>
    </r>
    <r>
      <rPr>
        <sz val="11"/>
        <color indexed="8"/>
        <rFont val="Times New Roman"/>
        <family val="1"/>
        <charset val="238"/>
      </rPr>
      <t>(I+...+V)</t>
    </r>
  </si>
  <si>
    <t>B. FELHALMOZÁSI KIADÁSOK</t>
  </si>
  <si>
    <t xml:space="preserve">  I. Beruházások</t>
  </si>
  <si>
    <t xml:space="preserve"> II. Felújítások</t>
  </si>
  <si>
    <t>III. Egyéb felhalmozási célú kiadások</t>
  </si>
  <si>
    <t xml:space="preserve">   1. Egyéb felhalmozási célú támogatások ÁHT-n belülre</t>
  </si>
  <si>
    <t xml:space="preserve">   2. Felhalmozási célú kölcsönök ÁHT-n belülre</t>
  </si>
  <si>
    <t xml:space="preserve">   3. Egyéb felhalmozási célú támogatások ÁHT-n kívülre</t>
  </si>
  <si>
    <t xml:space="preserve">   4. Felhalmozási célú kölcsönök ÁHT-n kívülre</t>
  </si>
  <si>
    <t xml:space="preserve">   5. Lakástámogatás</t>
  </si>
  <si>
    <t xml:space="preserve">   6. Felhalmozási céltartalék</t>
  </si>
  <si>
    <t>B. Felhalm. kiadások összesen (I+...+III)</t>
  </si>
  <si>
    <t>Költségvetési kiadások mindössz.(A+B)</t>
  </si>
  <si>
    <t>C. FINANSZÍROZÁSI KIADÁSOK</t>
  </si>
  <si>
    <t>I. Belföldi finanszírozási kiadásai</t>
  </si>
  <si>
    <t xml:space="preserve">  1. Hosszú lejáratú hitelek, kölcsönök törlesztése ÁHT-n kív.</t>
  </si>
  <si>
    <t xml:space="preserve">  2. Rövid lejáratú hitelek, kölcsönök törlesztése ÁHT-n kív.</t>
  </si>
  <si>
    <t>II. Belföldi értékpapírok kiadásai</t>
  </si>
  <si>
    <t xml:space="preserve">  1. Forgatási c.belf.értékpapírok vásárlása, beváltása</t>
  </si>
  <si>
    <t xml:space="preserve">  2. Befektetési c.belf.értékpapírok vásárlása, beváltása</t>
  </si>
  <si>
    <t>III. Központi, irányító szervi támogatás folyósítása</t>
  </si>
  <si>
    <t xml:space="preserve">  1. Központi támogatás - Működési</t>
  </si>
  <si>
    <t xml:space="preserve">  2. Irányító szervi támogatás - Működési</t>
  </si>
  <si>
    <t xml:space="preserve">  3. Központi támogatás  - Felhalmozási</t>
  </si>
  <si>
    <t xml:space="preserve">  4. Irányító szervi támogatás - Felhalmozási</t>
  </si>
  <si>
    <t>IV. Külföldi finanszírozás kiadásai</t>
  </si>
  <si>
    <t>C. Finanszírozás kiadások összesen (I+…+IV)</t>
  </si>
  <si>
    <t>Működési finanszírozás kiadásai</t>
  </si>
  <si>
    <t>Felhalmozási finanszírozás kiadásai</t>
  </si>
  <si>
    <t>Kiadások összesen (A+B+C+D)</t>
  </si>
  <si>
    <t>Ellenőrző szám</t>
  </si>
  <si>
    <t>I. Működési célú támogatásértékű kiadások</t>
  </si>
  <si>
    <t>1. Működési célú támogatások ÁHT-n belülre</t>
  </si>
  <si>
    <t>Állami gondozási díj (60%) továbbutalása</t>
  </si>
  <si>
    <t>SzSzB tagok távolléti díja (népszavazás saját)</t>
  </si>
  <si>
    <t>SzSzB tagok távolléti díja (népszavazás Kp-i)</t>
  </si>
  <si>
    <t>1. Működési célú támogatások ÁHT-n belülre összesen:</t>
  </si>
  <si>
    <t>2. Működési célú támogatás ÁHT-n kívülre</t>
  </si>
  <si>
    <t>2. Működési célú támogatás ÁHT-n kívülre összesen:</t>
  </si>
  <si>
    <t>II. Elvonások és befizetések</t>
  </si>
  <si>
    <t>Egyéb elvonások és befizetések (2015. maradvány korrekció)</t>
  </si>
  <si>
    <t>Elvonások és befizetések összesen:</t>
  </si>
  <si>
    <t xml:space="preserve"> Működési célú támogatások összesen</t>
  </si>
  <si>
    <t>(1+2)</t>
  </si>
  <si>
    <t>II. Felhalmozási célú pénzeszközátadás</t>
  </si>
  <si>
    <t>1. Felhalmozási célú támogatásértékű kiadás ÁHT-n belül</t>
  </si>
  <si>
    <t>1. Felhalmozási célú támogatásértékű kiadás összesen</t>
  </si>
  <si>
    <t xml:space="preserve"> 2. Felhalmozási célú pénzeszközátadás ÁHT-n kívülre</t>
  </si>
  <si>
    <t xml:space="preserve">2. Államháztartáson kívül összesen: </t>
  </si>
  <si>
    <t xml:space="preserve">Felhalmozási célra átadott pénzeszköz összesen </t>
  </si>
  <si>
    <t>I. POLGÁRMESTERI HIVATAL ÖSSZESEN:</t>
  </si>
  <si>
    <t>1. Működési célú támogatásértékű kiad. ÁHT-n belülre</t>
  </si>
  <si>
    <t>1. Működési célú támogatásértékű kiadások összesen:</t>
  </si>
  <si>
    <t>2. Működési célú pénzeszközátadás ÁHT-n kívülre</t>
  </si>
  <si>
    <t xml:space="preserve">2. Államháztartáson kívülre összesen: </t>
  </si>
  <si>
    <t>A helyi önk.törvényi előiráson alapuló befizetések</t>
  </si>
  <si>
    <t>GMK</t>
  </si>
  <si>
    <t>Hetedhét Óvoda</t>
  </si>
  <si>
    <t>Rákospalotai Kertvárosi Összevont Óvoda</t>
  </si>
  <si>
    <t>Működési célú támogatásértékű kiadások összesen</t>
  </si>
  <si>
    <t xml:space="preserve"> II. Felhalmozási célra átadott pénzeszköz  </t>
  </si>
  <si>
    <t xml:space="preserve">1. Felhalmozási célú támogatásértékű pénzeszközátadás </t>
  </si>
  <si>
    <t>1. Felhalmozási célú támogatásértékű pe. átadás összesen</t>
  </si>
  <si>
    <t>2. Felhalmozási célú pénzeszközátadás ÁHT-n kívülre (382)</t>
  </si>
  <si>
    <t>Előző évi felhalmozási célú EI-maradvány átadás összesen</t>
  </si>
  <si>
    <t>INTÉZMÉNYEK MINDÖSSZESEN:</t>
  </si>
  <si>
    <t>I. Működési célú támogatások</t>
  </si>
  <si>
    <t>Egyéb fejezeti kezelésű előirányzatok (Iskolák)</t>
  </si>
  <si>
    <t>Gyermekönkormányzat támogatása</t>
  </si>
  <si>
    <t>Mezei őrszolgálatba való társulás</t>
  </si>
  <si>
    <t>Kerületi Szabó Ervin Könyvtár</t>
  </si>
  <si>
    <t>Térfigyelő kamera üzemeltetése XV.ker.Rendőrkapitányság</t>
  </si>
  <si>
    <t>PM</t>
  </si>
  <si>
    <t>Középiskolák határon túli</t>
  </si>
  <si>
    <t>Bp-i Rendőr-főkap.XV.ker.Rendőrkapitányság tám.</t>
  </si>
  <si>
    <t>Nemzetiségi Önkormányzat támogatása</t>
  </si>
  <si>
    <t>Bolgár NÖK</t>
  </si>
  <si>
    <t>Cigány NÖK</t>
  </si>
  <si>
    <t>Görög NÖK</t>
  </si>
  <si>
    <t>Horvát NÖK</t>
  </si>
  <si>
    <t>Német NÖK</t>
  </si>
  <si>
    <t>Örmény NÖK</t>
  </si>
  <si>
    <t>Román NÖK</t>
  </si>
  <si>
    <t>Szerb NÖK</t>
  </si>
  <si>
    <t>2. Működési célú támogatások ÁHT-n kívülre</t>
  </si>
  <si>
    <t>Palota-15 Nonprofit Kft. de minimis támogatása</t>
  </si>
  <si>
    <t>Répszolg Kft. de minimis támogatása</t>
  </si>
  <si>
    <t>RUP-15 Városfejleszhtési Kft. de minimis támogatása</t>
  </si>
  <si>
    <t>Palota-15 Nonprofit Kft. közfoglalk. (bér és jár.)</t>
  </si>
  <si>
    <t>Répszolg Kft. közfoglalkoztatás (bér és jár.)</t>
  </si>
  <si>
    <t>Háztartásoknak - Jöjjön ki Palotára</t>
  </si>
  <si>
    <t>Háztartások támogatása</t>
  </si>
  <si>
    <t xml:space="preserve">Háztartásoknak </t>
  </si>
  <si>
    <t>Rádió frekvencia pályázati önrész</t>
  </si>
  <si>
    <t>Egyéb (profitorientált) vállalkozások támogatása</t>
  </si>
  <si>
    <t>GARBO Könyvkiadó Kft.</t>
  </si>
  <si>
    <t>Hungarovox Kiadó Kft. (Pomogáts Béla: "Kihívások. Tanulmányok az erdélyi magyar irodalomról" c. könyv)</t>
  </si>
  <si>
    <t>KoMa 08 Kft. támogatása</t>
  </si>
  <si>
    <t>L.M.J. Kft. Dani Gergely atya domborművének öntési költségeinek támogatása</t>
  </si>
  <si>
    <t>Véghelyzet Kft. (hagyományápoló verseskötet és Antal György költő verseskötetének kiadásához támogatás)</t>
  </si>
  <si>
    <t xml:space="preserve">Alapítványok támogatása </t>
  </si>
  <si>
    <t>Alapítvány a Kultúrált Közösségért</t>
  </si>
  <si>
    <t>Alapítvány az Ifjúság és Tánc és Zeneművészeti Nevelésért</t>
  </si>
  <si>
    <t>Bogáncs utcai Iskolásokat Segítő Alapítvány</t>
  </si>
  <si>
    <t>CORTEX Alapítvány az Agysérültek Rehabilitációjáért</t>
  </si>
  <si>
    <t>Csutkababa Alapítvány</t>
  </si>
  <si>
    <t>Drogprevenciós Alapítvány</t>
  </si>
  <si>
    <t>"Együtt, Egymásért" alapítvány</t>
  </si>
  <si>
    <t>Együtt a Gyermekekért az Egészségért Alapítvány</t>
  </si>
  <si>
    <t>Értelmes Életért Alapítvány</t>
  </si>
  <si>
    <t>Gondoskodás Gyermekeinkért Alapítvány</t>
  </si>
  <si>
    <t>Grosics Alapítvány</t>
  </si>
  <si>
    <t>Gyerekpalota Alapítvány</t>
  </si>
  <si>
    <t>Hartyán Alapítvány az Iskoláért</t>
  </si>
  <si>
    <t>Jézus Szive Alapítvány</t>
  </si>
  <si>
    <t>Kavicsosi Deák Alapítvány</t>
  </si>
  <si>
    <t>Kegyelem Alapítvány</t>
  </si>
  <si>
    <t>Korona Oktatási Alapítvány</t>
  </si>
  <si>
    <t>Korszerű Tudással Építsd a Jövőnket Alapítvány</t>
  </si>
  <si>
    <t>Közrend és Vagyonvédelmi Közalapítvány</t>
  </si>
  <si>
    <t>Kultúrműhely Alapítvány</t>
  </si>
  <si>
    <t>Lehetőség a Rászorulóknak Alapítvány</t>
  </si>
  <si>
    <t>Magyar Zenei Kulturális Alapítvány</t>
  </si>
  <si>
    <t xml:space="preserve">MÁV Szimfonikus Zenekari Alapítvány </t>
  </si>
  <si>
    <t>Meixner Alapítvány</t>
  </si>
  <si>
    <t>Mezőségi Őrzőkőr Közhasznú Alapítvány</t>
  </si>
  <si>
    <t>Micimackó és a Természet Alapítvány</t>
  </si>
  <si>
    <t>Mini manó Alapítvány</t>
  </si>
  <si>
    <t>Nyújtsd a Kezed Alapítvány</t>
  </si>
  <si>
    <t>Pestújhelyi iskoláért Alapítvány</t>
  </si>
  <si>
    <t>Pestújhelyi Iskoláért Alapítvány</t>
  </si>
  <si>
    <t>Pro Scola Georgius Dózsa Alapítvány</t>
  </si>
  <si>
    <t>Református Misszió Alapítvány</t>
  </si>
  <si>
    <t>Szabó Miklós Lelki Pásztor Szellemi Hagyatékát Őrző Alapítvány</t>
  </si>
  <si>
    <t>Szoc.Rehab. Alapítvány</t>
  </si>
  <si>
    <t>Szülők, tanítványok a Kolozsvár úti Iskoláért Alapítvány</t>
  </si>
  <si>
    <t>Tavasz Kórus Alapítvány</t>
  </si>
  <si>
    <t xml:space="preserve">Sportszervezetek támogatása:                                  </t>
  </si>
  <si>
    <t xml:space="preserve">Femina </t>
  </si>
  <si>
    <t xml:space="preserve">Edőcs István Ökölvívó Egyesület </t>
  </si>
  <si>
    <t xml:space="preserve">Palota Röplabda SC </t>
  </si>
  <si>
    <t>Pestújhelyi Sport Club</t>
  </si>
  <si>
    <t xml:space="preserve">BLF Kosárlabda Klub </t>
  </si>
  <si>
    <t>Dynamic Karate Sportegyesület</t>
  </si>
  <si>
    <t>Kinizsi TTK</t>
  </si>
  <si>
    <t>REAC Sport Kft.</t>
  </si>
  <si>
    <t>REAC Sportiskola SE</t>
  </si>
  <si>
    <t>Diáksport-egyesületek</t>
  </si>
  <si>
    <t>Szabadidősport-egyesületek</t>
  </si>
  <si>
    <t>Egyházak műk.c.támogatása pályázat</t>
  </si>
  <si>
    <t>Bárka Baptista Gyülekezet</t>
  </si>
  <si>
    <t>Budapest-Újpest Görög Katolikus Egyházközség</t>
  </si>
  <si>
    <t>BZSH Újpesti Templomkörzet</t>
  </si>
  <si>
    <t>BZSH Zuglói Templomkörzet</t>
  </si>
  <si>
    <t>Fészek Keresztény közösség</t>
  </si>
  <si>
    <t>Pestújhelyi Evangélikus Egyház</t>
  </si>
  <si>
    <t>Keresztelő Szent János Plébánia</t>
  </si>
  <si>
    <t>Maroshévizi Református Egyházközösség</t>
  </si>
  <si>
    <t>Pestújhelyi Keresztelő Szent János Plébánia</t>
  </si>
  <si>
    <t>Pestújhelyi Református Egyházközség</t>
  </si>
  <si>
    <t>Pestújhely-Újpalota Evangélikus Egyházközség</t>
  </si>
  <si>
    <t>Pestújhely-Újpalota Református Egyházközség</t>
  </si>
  <si>
    <t>Pestújhely-Újvárosi Református Egyházközség</t>
  </si>
  <si>
    <t>R.pal. Kertvárosi Szent Margit Plébánia</t>
  </si>
  <si>
    <t>Református Misszió Központ</t>
  </si>
  <si>
    <t>Rpal. Újvárosi Református Egyházközösség</t>
  </si>
  <si>
    <t>Rpal. Óvárosi Református Egyházközség</t>
  </si>
  <si>
    <t>Rpal.Baptista Gyülekezet</t>
  </si>
  <si>
    <t>Rpal.Evangélikus Egyházközség</t>
  </si>
  <si>
    <t>Rpal.Magyarok Nagyasszonya  Főplébánia</t>
  </si>
  <si>
    <t>Rpal.MÁV-telepi Jézus Szíve Plébánia</t>
  </si>
  <si>
    <t>Újpalotai Református Misszió</t>
  </si>
  <si>
    <t>Úlpalotai Boldog Salkaházi Sára Plébánia</t>
  </si>
  <si>
    <t>Egyéb civil szervezettámogatása</t>
  </si>
  <si>
    <t>Vöröskereszt támogatása</t>
  </si>
  <si>
    <t>Fővárosi Szabó Ervin Könyvtár</t>
  </si>
  <si>
    <t>Egyesületek támogatása</t>
  </si>
  <si>
    <t>1956. Magyar Nemzetőrség</t>
  </si>
  <si>
    <t>56-os Szövetség XV.ker. Szervezete</t>
  </si>
  <si>
    <t>Állat és Ember - Állat és term.védő kult.és szabadidő egy</t>
  </si>
  <si>
    <t>Asociatia Dr. Urmánczy Nándor Egyesület</t>
  </si>
  <si>
    <t>Budapesti Városvédő Egyesület</t>
  </si>
  <si>
    <t>Bűnmegelőzési Polgárőrség XV.ker.</t>
  </si>
  <si>
    <t>CORTEX alapítvány az Agysérültek Rehabilitációjáért</t>
  </si>
  <si>
    <t xml:space="preserve">Czabán DSE </t>
  </si>
  <si>
    <t>Csomópont Egyesület</t>
  </si>
  <si>
    <t>Dalnoki Jenő Labdarúgó Akadémia</t>
  </si>
  <si>
    <t>Dózsa Diáksport Egyesület</t>
  </si>
  <si>
    <t>Együtt Újpalotáért Egyesület</t>
  </si>
  <si>
    <t>Együtt Újpalotáért Kult. és Szoc. Érdekképviseleti Egyesület</t>
  </si>
  <si>
    <t>Első Magyar Gó Egyesület</t>
  </si>
  <si>
    <t>Északi Fény Természetjáró Egyesület</t>
  </si>
  <si>
    <t>Észak-Pesti Környezetvédelmi, Kulturális és Szabadidősport Egyesület</t>
  </si>
  <si>
    <t>Európai Hátrányos Helyzetűek Közhasznú Egyesülete</t>
  </si>
  <si>
    <t>Gaál István Egyesület</t>
  </si>
  <si>
    <t>Hartyán Diáksport Egyesület</t>
  </si>
  <si>
    <t>Hercules Fiai Honvéd Sportegyesület</t>
  </si>
  <si>
    <t>Issimo Sportegyesület</t>
  </si>
  <si>
    <t>Idősek és Nyugdíjasok Egyesülete XV.ker.</t>
  </si>
  <si>
    <t>Ifjúsági Caritas Egyesület</t>
  </si>
  <si>
    <t>Kavicsos Diáksport Egyesület</t>
  </si>
  <si>
    <t>Kontyfa Diáksport Egyesület</t>
  </si>
  <si>
    <t>Kontyfa Sportiskola Sportegyesület</t>
  </si>
  <si>
    <t>Korona Diáksport Egyesület</t>
  </si>
  <si>
    <t>Közbiztonsági Polgárőr Gjmű.Felderítő Közhasznú Egyesület</t>
  </si>
  <si>
    <t>Közösségfejlesztők Egyesülete</t>
  </si>
  <si>
    <t>Magyar Építészeti Kamara</t>
  </si>
  <si>
    <t>Magyar Go Egyesület</t>
  </si>
  <si>
    <t>Magyar Hallássérültek Sportszövetsége</t>
  </si>
  <si>
    <t>Magyar Kanizsai Udvari Kamaraszínház Nonprofit kft.</t>
  </si>
  <si>
    <t>Magyar Kushido Fortuna Karate Sportegyesület</t>
  </si>
  <si>
    <t>Magyar Numizmatikai Társulat</t>
  </si>
  <si>
    <t>Magyar Politikai Foglyok Országos Szövetsége</t>
  </si>
  <si>
    <t>Manna Kulturális Egyesület</t>
  </si>
  <si>
    <t>MÁV Telep Baráti Köre Közhasznú Egyesület</t>
  </si>
  <si>
    <t>Mozgássérültek Budapesti Egyesülete</t>
  </si>
  <si>
    <t>Nagycsaládosok Újpalotai Egyesülete</t>
  </si>
  <si>
    <t>Nihon Újpalotai Sportegyesület</t>
  </si>
  <si>
    <t>ÖTHÉT Egyesület</t>
  </si>
  <si>
    <t>Palota Sport Club</t>
  </si>
  <si>
    <t>Palotai Csokonai Asztali-labdarúgó Egyesület</t>
  </si>
  <si>
    <t>Palotai Polgárőrség ÖTE</t>
  </si>
  <si>
    <t>Palotai Titánok Sportegyesület</t>
  </si>
  <si>
    <t>Pestújhelyi Pátria Közhasznú Egyesület</t>
  </si>
  <si>
    <t>Rákospalota Kolozsvár DSE</t>
  </si>
  <si>
    <t>Rákospalota Örökségünk Egyesülete</t>
  </si>
  <si>
    <t>Rákospalotai Madárbarát Egyesület</t>
  </si>
  <si>
    <t>Rászorulókat Támogatók Egyesülete</t>
  </si>
  <si>
    <t>Rákospalotai REACTOR Sportegyesület</t>
  </si>
  <si>
    <t>Segítsd az Iskoládat Közhasznú Egyesület</t>
  </si>
  <si>
    <t>Siketek Sport Clubja</t>
  </si>
  <si>
    <t>Szilas Néptáncegyüttes Egyesület</t>
  </si>
  <si>
    <t>Szolidáris Kisnyugdíjasok Egyesülete</t>
  </si>
  <si>
    <t xml:space="preserve">Tegyünk együtt Rp.-Kertvárosért Kh.Egyesület </t>
  </si>
  <si>
    <t>Testvériség  Sport Egyesület</t>
  </si>
  <si>
    <t>Trappancs Szervátültetett Gyermekek Rehab.és Sportegy.</t>
  </si>
  <si>
    <t>Újpalota Sportegyesület</t>
  </si>
  <si>
    <t>Újpalotaiak Baráti Köre Művelődési és Érdekvédelmi Egyesület</t>
  </si>
  <si>
    <t>Unilever Tömegsport Egyesület</t>
  </si>
  <si>
    <t>Vakok és Gyengénlátók Közép-Mo-i Regionális Egyesülete</t>
  </si>
  <si>
    <t>Victoria Sport Club</t>
  </si>
  <si>
    <t>XV. Kerületi Fúvószenekari Egyesület</t>
  </si>
  <si>
    <t>XV. Kerületi Bűnmegelőzési Polgárőrség</t>
  </si>
  <si>
    <t>2. Működési célú támogatások ÁHT-n kívülre összesen:</t>
  </si>
  <si>
    <t>Állami tám.elsz.miatti visszafizetés</t>
  </si>
  <si>
    <t>MÁK bírság</t>
  </si>
  <si>
    <t>II. Felhalmozási célú támogatások</t>
  </si>
  <si>
    <t>1. Felhalmozási célú támogatások ÁHT-n belülre</t>
  </si>
  <si>
    <t>I.Világháborús Haditechnikai Park és Oktatási Központ</t>
  </si>
  <si>
    <t>Városüzemeltetés Bp. Fővárosnak KEOP tám. programban megvalósuló projekthez önerő</t>
  </si>
  <si>
    <t>Bp-i Rendőrfőkapitányság XV.ker. Rendőrkapitányság (eszközfejl.)</t>
  </si>
  <si>
    <t>Fővárosi Katasztrófavédelmi Igazgatóság  (eszközfejl.)</t>
  </si>
  <si>
    <t>1. Felhalmozási célú támogatások ÁHT-n belülre összesen:</t>
  </si>
  <si>
    <t xml:space="preserve"> 2. Felhalmozási célú támogatások ÁHT-n kívülre</t>
  </si>
  <si>
    <t>Start Plusz XV. Kiegészítő támogatás</t>
  </si>
  <si>
    <t>Csapadékvíz tározó edények pályázat</t>
  </si>
  <si>
    <t>Kerékpár tárolók létesítésére pályázat</t>
  </si>
  <si>
    <t>Önkormányzati lakásmegváltás</t>
  </si>
  <si>
    <t>Háztartásoknak (passzív zajvédelem) pályázat</t>
  </si>
  <si>
    <t>Társasházi kamerarendszer pályázati keret</t>
  </si>
  <si>
    <t>Fűtéskorszerűsítés támogatása - Fővárosi Gázművek</t>
  </si>
  <si>
    <t>Társasházak és Szövetkezeti lakások akadálymentesítése (pályázati keret)</t>
  </si>
  <si>
    <t>POFOSZ Kitel.Tag. emlékmű tám.</t>
  </si>
  <si>
    <t>Spirálház Zsókavár u. 24-26. - Víz-csatorna rendszer felújítása (Palota Holding)</t>
  </si>
  <si>
    <t xml:space="preserve">Civil szervezetek beruházási támogatása </t>
  </si>
  <si>
    <t>Egyéb alapítványok</t>
  </si>
  <si>
    <t>Meixner Alapítvány beruházási tám. (kazán csere)</t>
  </si>
  <si>
    <t>Közrendvédelmi Alapítvány</t>
  </si>
  <si>
    <t>Drogpevenciós Alapítvány</t>
  </si>
  <si>
    <t>Periféria Alapítvány</t>
  </si>
  <si>
    <t xml:space="preserve">Civil szervezetek felújítási támogatása </t>
  </si>
  <si>
    <t>Egyházak beruházási támogatása</t>
  </si>
  <si>
    <t>Árpádhazi Szt. Erzsébet Plébánia</t>
  </si>
  <si>
    <t xml:space="preserve">Budapest Újpalotai Boldog Salkaházi Sára Plébánia </t>
  </si>
  <si>
    <t>É-P Görög Kat. Parókia</t>
  </si>
  <si>
    <t>MÁV telepi Templom</t>
  </si>
  <si>
    <t>Pestújhelyi Keresztelő Szent  János Plébánia</t>
  </si>
  <si>
    <t>Rákospalota-Kertvárosi Plébánia</t>
  </si>
  <si>
    <t>Református Egyházközség</t>
  </si>
  <si>
    <t>Református Iszákosmentő Misszió</t>
  </si>
  <si>
    <t>Rpal. Újvárosi Református Egyházközség</t>
  </si>
  <si>
    <t>Szent Margit Plébánia</t>
  </si>
  <si>
    <t>Egyházak felújítási támogatása</t>
  </si>
  <si>
    <t>Budapest, Pestújhelyi Református Egyházközség</t>
  </si>
  <si>
    <t>Budapest-Rákospalota-Újvárosi Református Egyházközség</t>
  </si>
  <si>
    <t>YBL Water Polo Club Egyesület</t>
  </si>
  <si>
    <t xml:space="preserve"> 2. Felhalmozási célú támogatások ÁHT-n kívülre összesen :</t>
  </si>
  <si>
    <t>II. Felhalmozási célú támogatások összesen</t>
  </si>
  <si>
    <t>III. ÖNKORMÁNYZAT MINDÖSSZESEN:</t>
  </si>
  <si>
    <t>(I+II)</t>
  </si>
  <si>
    <t>ÖNKORMÁNYZAT  ÖSSZESEN</t>
  </si>
  <si>
    <t xml:space="preserve">   Működési célú támogatásértékű kiadások összesen: </t>
  </si>
  <si>
    <t xml:space="preserve">   Felhalmozási célra átadott pénzeszköz összesen:</t>
  </si>
  <si>
    <t>Önkormányzat</t>
  </si>
  <si>
    <t>Müködési célú kölcsönök</t>
  </si>
  <si>
    <t>1. Müködési célú kölcsönök ÁHT-n belülre</t>
  </si>
  <si>
    <t>1. Müködési célú kölcsönök ÁHT-n belülre összesen:</t>
  </si>
  <si>
    <t>2. Müködési célú kölcsönök ÁHT-n kívülre</t>
  </si>
  <si>
    <t>Palota szociális kamatmentes kölcsön</t>
  </si>
  <si>
    <t>2. Müködési célú kölcsönök ÁHT-n kívülre összesen:</t>
  </si>
  <si>
    <t>Működési célú kölcsönök összesen</t>
  </si>
  <si>
    <t>Felhalmozási célú kölcsönök</t>
  </si>
  <si>
    <t>1. Felhalmozási célú kölcsönök ÁHT-n belülre</t>
  </si>
  <si>
    <t>1. Felhalmozási célú kölcsönök ÁHT-n belülre összesen:</t>
  </si>
  <si>
    <t>2. Felhalmozási célú kölcsönök ÁHT-n kívülre</t>
  </si>
  <si>
    <t>Munkáltatói kölcsönhöz visszatérülésből</t>
  </si>
  <si>
    <t>Társasházak felúj. Pályázat (Kamera rendszer is)</t>
  </si>
  <si>
    <t>Társasházak felújítási pályázat</t>
  </si>
  <si>
    <t>Lakásépítésre, vásárlásra tám. (Helyi tám.)</t>
  </si>
  <si>
    <t>2. Felhalmozási célú kölcsönök ÁHT-n kívülre összesen:</t>
  </si>
  <si>
    <t>Felhalmozási célú kölcsönök összesen</t>
  </si>
  <si>
    <t xml:space="preserve"> Lakástámogatás</t>
  </si>
  <si>
    <t>Lakásépítésre, vásárlásra tám. (Ifjú házasok tám.)</t>
  </si>
  <si>
    <t>Örökség- és értékvédelmi pályázat</t>
  </si>
  <si>
    <t>Zsókavár III. ütem Szociális városrehabilitáció KMOP-5.1.1/B-12-k-2012-0002- önkorm.saját</t>
  </si>
  <si>
    <t>Lakástámogatás összesen:</t>
  </si>
  <si>
    <t>Címrend</t>
  </si>
  <si>
    <t>Költségvetési szerv</t>
  </si>
  <si>
    <t>Csokonai Kulturális és Sport Központ</t>
  </si>
  <si>
    <t xml:space="preserve">Rákospalotai Hetedhét Óvoda </t>
  </si>
  <si>
    <t xml:space="preserve">Hartyán-Árendás Összevont Óvoda  </t>
  </si>
  <si>
    <t xml:space="preserve">Pestújhelyi Óvoda </t>
  </si>
  <si>
    <t>Gazdasági Működtetési Központ</t>
  </si>
  <si>
    <t>Kormányzati funkciók</t>
  </si>
  <si>
    <t xml:space="preserve">összesen </t>
  </si>
  <si>
    <t>Gazdálkodási jogkör szerint</t>
  </si>
  <si>
    <t>önálló intézmény</t>
  </si>
  <si>
    <t>önállóan működő intézmény</t>
  </si>
  <si>
    <t>Előirányzat megnevezése</t>
  </si>
  <si>
    <t>22.</t>
  </si>
  <si>
    <t>23.</t>
  </si>
  <si>
    <t>27.</t>
  </si>
  <si>
    <t>28.</t>
  </si>
  <si>
    <t>32.</t>
  </si>
  <si>
    <t>33.</t>
  </si>
  <si>
    <t>37.</t>
  </si>
  <si>
    <t>38.</t>
  </si>
  <si>
    <t>42.</t>
  </si>
  <si>
    <t>43.</t>
  </si>
  <si>
    <t>47.</t>
  </si>
  <si>
    <t>48.</t>
  </si>
  <si>
    <t>52.</t>
  </si>
  <si>
    <t>53.</t>
  </si>
  <si>
    <t>57.</t>
  </si>
  <si>
    <t>58.</t>
  </si>
  <si>
    <t>62.</t>
  </si>
  <si>
    <t>63.</t>
  </si>
  <si>
    <t>67.</t>
  </si>
  <si>
    <t>68.</t>
  </si>
  <si>
    <t>72.</t>
  </si>
  <si>
    <t>73.</t>
  </si>
  <si>
    <t>77.</t>
  </si>
  <si>
    <t>78.</t>
  </si>
  <si>
    <t>82.</t>
  </si>
  <si>
    <t>83.</t>
  </si>
  <si>
    <t>87.</t>
  </si>
  <si>
    <t>88.</t>
  </si>
  <si>
    <r>
      <t>Engedélyezett álláshelyek száma (fő)</t>
    </r>
    <r>
      <rPr>
        <u/>
        <sz val="11"/>
        <rFont val="Times New Roman"/>
        <family val="1"/>
        <charset val="238"/>
      </rPr>
      <t xml:space="preserve">  2016.01.01-től</t>
    </r>
  </si>
  <si>
    <r>
      <t>Engedélyezett álláshelyek száma (fő)</t>
    </r>
    <r>
      <rPr>
        <u/>
        <sz val="11"/>
        <rFont val="Times New Roman"/>
        <family val="1"/>
        <charset val="238"/>
      </rPr>
      <t xml:space="preserve">  2015.04.01-től</t>
    </r>
  </si>
  <si>
    <r>
      <t>Engedélyezett álláshelyek száma (fő)</t>
    </r>
    <r>
      <rPr>
        <u/>
        <sz val="11"/>
        <rFont val="Times New Roman"/>
        <family val="1"/>
        <charset val="238"/>
      </rPr>
      <t xml:space="preserve">  2016.07.01-től</t>
    </r>
  </si>
  <si>
    <r>
      <t>Engedélyezett álláshelyek száma (fő)</t>
    </r>
    <r>
      <rPr>
        <u/>
        <sz val="11"/>
        <rFont val="Times New Roman"/>
        <family val="1"/>
        <charset val="238"/>
      </rPr>
      <t xml:space="preserve">  2016.09.01-től</t>
    </r>
  </si>
  <si>
    <r>
      <t>Engedélyezett álláshelyek száma (fő)</t>
    </r>
    <r>
      <rPr>
        <u/>
        <sz val="11"/>
        <rFont val="Times New Roman"/>
        <family val="1"/>
        <charset val="238"/>
      </rPr>
      <t xml:space="preserve">  2016.08.01-től</t>
    </r>
  </si>
  <si>
    <t xml:space="preserve">Közfoglalkoztatottak létszáma (fő)  </t>
  </si>
  <si>
    <r>
      <t xml:space="preserve">KIADÁSOK         </t>
    </r>
    <r>
      <rPr>
        <i/>
        <sz val="11"/>
        <rFont val="Times New Roman"/>
        <family val="1"/>
        <charset val="238"/>
      </rPr>
      <t xml:space="preserve"> </t>
    </r>
    <r>
      <rPr>
        <b/>
        <i/>
        <sz val="11"/>
        <rFont val="Times New Roman"/>
        <family val="1"/>
        <charset val="238"/>
      </rPr>
      <t>ezer forintban</t>
    </r>
  </si>
  <si>
    <t>1.1 Foglalkoztatottak személyi juttatásai</t>
  </si>
  <si>
    <t>1.2 Külső személyi juttatások</t>
  </si>
  <si>
    <t xml:space="preserve">  2. Munkaadókat terhelő járulékok és szociális hzj adó</t>
  </si>
  <si>
    <t xml:space="preserve">  3. Dologi kiadások</t>
  </si>
  <si>
    <t>3.1 Étkezési kiadások - ÁFA-val</t>
  </si>
  <si>
    <t>3.2 Táborok, rendezvények, egyéb programok - ÁFA-val</t>
  </si>
  <si>
    <t>3.3 Egyéb dologi kiadások</t>
  </si>
  <si>
    <t>5.1 Elvonások és befizetések</t>
  </si>
  <si>
    <t>5.2 Egyéb működési célú támogatások ÁHT-n belülre</t>
  </si>
  <si>
    <t>5.3 Működési célú kölcsönök ÁHT-n belülre</t>
  </si>
  <si>
    <t>5.4 Egyéb működési célú támogatások ÁHT-n kívülre</t>
  </si>
  <si>
    <t>5.5 Működési célú kölcsönök ÁHT-n kívülre</t>
  </si>
  <si>
    <t>5.6 Általános tartalék</t>
  </si>
  <si>
    <t>5.7 Működési céltartalék</t>
  </si>
  <si>
    <t>Működési kiadások összesen</t>
  </si>
  <si>
    <t>8.1 Egyéb felhalmozási célú támogatások ÁHT-n belülre</t>
  </si>
  <si>
    <t>8.2 Felhalmozási célú kölcsönök ÁHT-n belülre</t>
  </si>
  <si>
    <t>8.3 Egyéb felhalmozási célú támogatások ÁHT-n kívülre</t>
  </si>
  <si>
    <t>8.4 Felhalmozási célú kölcsönök ÁHT-n kívülre</t>
  </si>
  <si>
    <t>8.5 Lakástámogatás</t>
  </si>
  <si>
    <t>8.6 Felhalmozási céltartalék</t>
  </si>
  <si>
    <t>Felhalmozási kiadások összesen</t>
  </si>
  <si>
    <t>Költségvetési kiadások összesen</t>
  </si>
  <si>
    <t xml:space="preserve">  9.  Finanszírozási kiadások</t>
  </si>
  <si>
    <t>9.1  Hitel-, kölcsöntörlesztése ÁHT-n kívülre</t>
  </si>
  <si>
    <t>9.11 Hosszú lejáratú hitelek, kölcsönök törlesztése</t>
  </si>
  <si>
    <t>9.12 Rövid lejáratú hitelek, kölcsönök törlesztése</t>
  </si>
  <si>
    <t>9.2  Belföldi értékpapírok kiadásai</t>
  </si>
  <si>
    <t>9.21 Forgatási c.belf.értékpapírok vásárlása, beváltása</t>
  </si>
  <si>
    <t>9.22 Befektetési c.belf.értékpapírok vásárlása, beváltása</t>
  </si>
  <si>
    <t>9.3  Központi támogatás Nettó finasz.előleg visszafiz.</t>
  </si>
  <si>
    <t>9.41 Központi támogatás folyósítása - Működési</t>
  </si>
  <si>
    <t>9.42 Irányító szervi támogatás folyósítása - Működési</t>
  </si>
  <si>
    <t>9.43 Központi támogatás folyósítása - Felhalmozási</t>
  </si>
  <si>
    <t>9.44 Irányító szervi támogatás folyósítása - Felhalmozási</t>
  </si>
  <si>
    <t>9.5 Külföldi finanszírozás kiadásai</t>
  </si>
  <si>
    <t>Finanszirozási kiadások összesen</t>
  </si>
  <si>
    <t xml:space="preserve">Kiadások összesen </t>
  </si>
  <si>
    <t>BEVÉTELEK        ezer forintban</t>
  </si>
  <si>
    <t xml:space="preserve">  1. Működési célú támogatások ÁHT-n belülről</t>
  </si>
  <si>
    <t>1.1 Önkormányzatok működési támogatása</t>
  </si>
  <si>
    <t>1.2 Elvonások és befizetések bevételei</t>
  </si>
  <si>
    <t>1.3 Működési célú kölcsönök visszatérülése ÁHT-n belül</t>
  </si>
  <si>
    <t xml:space="preserve">1.4 Társadalombiztosítási - OEP - támogatás  </t>
  </si>
  <si>
    <t>1.5 Egyéb működési célú támogatások ÁHT-n belülről</t>
  </si>
  <si>
    <t xml:space="preserve">  3. Közhatalmi bevételek</t>
  </si>
  <si>
    <t xml:space="preserve">  4. Működési bevételek</t>
  </si>
  <si>
    <t>4.1 Intézményi étkezési bevételek ÁFA-val</t>
  </si>
  <si>
    <t>4.2 Táborok, rendezvények, egyéb programok - ÁFA-val</t>
  </si>
  <si>
    <t>4.3 Egyéb működési bevételek</t>
  </si>
  <si>
    <t xml:space="preserve">  6. Működési célú átvett pénzeszközök</t>
  </si>
  <si>
    <t>6.1 Működési célú kölcsön visszatérülése ÁHT-n kívül</t>
  </si>
  <si>
    <t>6.2 Működési célú átvett pénzeszközök  ÁHT-n kívül</t>
  </si>
  <si>
    <t>Működési bevételek összesen</t>
  </si>
  <si>
    <t xml:space="preserve">  5. Felhalmozási bevételek</t>
  </si>
  <si>
    <t xml:space="preserve">  6. Felhalmozási célú  támogatások</t>
  </si>
  <si>
    <t>6.1 Önkorm. felhalmozási célú  támogatása</t>
  </si>
  <si>
    <t>6.2 Felhalm. célú kölcsönök visszatérülése ÁHT-n belül</t>
  </si>
  <si>
    <t>6.3 Felhalmozási célú pénzeszközátvétel ÁHT-n belül</t>
  </si>
  <si>
    <t xml:space="preserve">6.4 Társadalombiztosítási - OEP - támogatás  </t>
  </si>
  <si>
    <t>7.1 Felhalm. célú kölcsönök visszatérülése ÁHT-n kívül</t>
  </si>
  <si>
    <t>7.2 Egyéb felhalm célú átvett pénzeszközök ÁHT-n kivül</t>
  </si>
  <si>
    <t>Felhalmozási bevételek összesen</t>
  </si>
  <si>
    <t>Költségvetési bevételek összesen</t>
  </si>
  <si>
    <t xml:space="preserve">  9.   Finanszírozási bevételek</t>
  </si>
  <si>
    <t>9.1   Belföldi finanszírozás bevételei ÁHT-n kívülről</t>
  </si>
  <si>
    <t>9.11  Hosszú lejáratú hitelek, kölcsönök felvétele</t>
  </si>
  <si>
    <t>9.12  Rövid lejáratú hitelek, kölcsönök felvétele</t>
  </si>
  <si>
    <t>9.2    Belföldi értékpapírok bevételei</t>
  </si>
  <si>
    <t>9.21  Forgatási c.belf.értékpapírok bev., érték., kibocsát.,</t>
  </si>
  <si>
    <t>9.22  Befektetési c.belf.értékpapírok bev., érték., kibocsát.</t>
  </si>
  <si>
    <t>9.3    Maradvány igénybevétele</t>
  </si>
  <si>
    <t>9.31  Maradvány igénybevétele - Működési</t>
  </si>
  <si>
    <t>9.32  Maradvány igénybevétele - Felhalmozási</t>
  </si>
  <si>
    <t>9.33  Központi támogatás Nettó finasz.előleg</t>
  </si>
  <si>
    <t>9.341  Központi támogatás - Működési</t>
  </si>
  <si>
    <t>9.342  Irányító szervi támogatás - Működési</t>
  </si>
  <si>
    <t>9.343  Központi támogatás  - Felhalmozási</t>
  </si>
  <si>
    <t>9.344  Irányító szervi támogatás - Felhalmozási</t>
  </si>
  <si>
    <t>9.4      Külföldi finanszírozás kiadásai</t>
  </si>
  <si>
    <t>Finanszírozási bevételek összesen</t>
  </si>
  <si>
    <t>Bevételek összesen</t>
  </si>
  <si>
    <t>Kontroll: kiadás-bevétel egyenlege</t>
  </si>
  <si>
    <t>Hubay Jenő Alapfokú Műv.Okt.Int.</t>
  </si>
  <si>
    <t xml:space="preserve">Czabán Általános Iskola </t>
  </si>
  <si>
    <t>Rákospalotai Kossuth Lajos Általános Iskola</t>
  </si>
  <si>
    <t xml:space="preserve">Pestújhelyi Általános Iskola   </t>
  </si>
  <si>
    <t>Magyar Kínai Kéttannyelvű Általános Iskola                          (2016.08.01.-2016.12.31.)</t>
  </si>
  <si>
    <t>Dózsa György Gimnázium és Táncművészeti Szakközépiskola</t>
  </si>
  <si>
    <t>Kontyfa Középiskola, Szakiskola és Általános Iskola</t>
  </si>
  <si>
    <t xml:space="preserve">László Gyula Gimnázium és Általános Iskola </t>
  </si>
  <si>
    <t>Száraznád Nevelési-Oktatási Központ, Általános Iskola, Szakiskola, Speciális Szakiskola</t>
  </si>
  <si>
    <t>Állami fenntartású Intézmények</t>
  </si>
  <si>
    <t>17.</t>
  </si>
  <si>
    <t>18.</t>
  </si>
  <si>
    <t>Engedélyezett álláshelyek száma (fő)  2016.01.01-től</t>
  </si>
  <si>
    <t>Engedélyezett álláshelyek száma (fő)  2015.04.01-től</t>
  </si>
  <si>
    <t>Engedélyezett álláshelyek száma (fő)  2015.05.06-tól</t>
  </si>
  <si>
    <t>Engedélyezett álláshelyek száma (fő)  2015.09.01-től</t>
  </si>
  <si>
    <t>6.2 Működési célú átvett pénzeszközök ÁHT-n kívül</t>
  </si>
  <si>
    <t>Humánpolitikai Osztály</t>
  </si>
  <si>
    <t>Főépítészi Iroda</t>
  </si>
  <si>
    <t>Jegyzői Iroda</t>
  </si>
  <si>
    <t>Polgármesteri Kabinet</t>
  </si>
  <si>
    <t>Városüzemeltetési Főosztály</t>
  </si>
  <si>
    <t>Hatósági Főosztály</t>
  </si>
  <si>
    <t>Népjóléti és Intézményfelügyeleti Főosztály</t>
  </si>
  <si>
    <t>Közgazdasági Főosztály</t>
  </si>
  <si>
    <t>Országos és helyi népszavazással kapcsolatos tevékenység</t>
  </si>
  <si>
    <t>Polgármesteri Hivatal összesen</t>
  </si>
  <si>
    <t>Szervezeti egység azonosító szám</t>
  </si>
  <si>
    <t>111</t>
  </si>
  <si>
    <t>112</t>
  </si>
  <si>
    <t>161-163</t>
  </si>
  <si>
    <t>151-153</t>
  </si>
  <si>
    <t>171</t>
  </si>
  <si>
    <t>141-143</t>
  </si>
  <si>
    <t>131-133</t>
  </si>
  <si>
    <t>121-122</t>
  </si>
  <si>
    <t>106020</t>
  </si>
  <si>
    <t>016010</t>
  </si>
  <si>
    <t>41.</t>
  </si>
  <si>
    <t>44.</t>
  </si>
  <si>
    <t>45.</t>
  </si>
  <si>
    <t>46.</t>
  </si>
  <si>
    <t>49.</t>
  </si>
  <si>
    <t>50.</t>
  </si>
  <si>
    <t>Engedélyezett álláshelyek száma (fő)  2016.04.01-től</t>
  </si>
  <si>
    <t>Engedélyezett álláshelyek száma (fő)  2016.07.01-től</t>
  </si>
  <si>
    <t>Engedélyezett álláshelyek száma (fő)  2016.09.01-től</t>
  </si>
  <si>
    <t>Engedélyezett álláshelyek száma (fő)  2016.08.01-től</t>
  </si>
  <si>
    <t>KIADÁSOK          ezer forintban</t>
  </si>
  <si>
    <t>Központi támogatás</t>
  </si>
  <si>
    <t>Önkormányzati támogatási igény</t>
  </si>
  <si>
    <t>2</t>
  </si>
  <si>
    <t>Palota-15 Rehabilitációs és Közfoglalkoztatási Közhasznú Nonprofit Kft.</t>
  </si>
  <si>
    <t>Palota Holding Ingatlan- és Vagyonkezelő Zrt.</t>
  </si>
  <si>
    <t>XV. Kerület Média Kommunikációs és Szolgáltató Közhasznú Nonprofit Kft.</t>
  </si>
  <si>
    <t>Répszolg Nonprofit Kft.</t>
  </si>
  <si>
    <t>RUP-15 Városfejlesztési Kft.</t>
  </si>
  <si>
    <t>Csapi 15 Vásárcsarnok és Piacfenntartó Kft.</t>
  </si>
  <si>
    <t>Gazdasági Társaságok Összesen</t>
  </si>
  <si>
    <t>Zsókavár II. ütem                                                                  KMOP-207-5.1.1/C-09-2f-2011-0001</t>
  </si>
  <si>
    <t>Fő úti Bölcsőde                                               KMOP-4.5.2-09</t>
  </si>
  <si>
    <t>Zsókavár III. ütem                                                                  KMOP-5.1.1/B-12k-2012-0002</t>
  </si>
  <si>
    <t>Kontyfa Iskola                                               KEOP-2012-5.5.0/A</t>
  </si>
  <si>
    <t>Albert Camus mellszobor                                                                    NKA 3974/260</t>
  </si>
  <si>
    <t>Csomópont                                                TÁMOP-5.2.5.08</t>
  </si>
  <si>
    <t>Opál utcai felnőtt háziorvosi rendelő felújítási pályázat 50 %-os önrésszel</t>
  </si>
  <si>
    <t xml:space="preserve">Kerékpárút építéshez Ingatlan vétel VEKOP 5.3.1-15/2016-00010 </t>
  </si>
  <si>
    <t>Pályázatok Összesen</t>
  </si>
  <si>
    <t>Szervezeti egységek (I)</t>
  </si>
  <si>
    <t>1641</t>
  </si>
  <si>
    <t>1642</t>
  </si>
  <si>
    <t>1643</t>
  </si>
  <si>
    <t>1644</t>
  </si>
  <si>
    <t>1645</t>
  </si>
  <si>
    <t>1646</t>
  </si>
  <si>
    <t>összesen (1…11)</t>
  </si>
  <si>
    <t>1651</t>
  </si>
  <si>
    <t>1652</t>
  </si>
  <si>
    <t>1653</t>
  </si>
  <si>
    <t>1654</t>
  </si>
  <si>
    <t>1655</t>
  </si>
  <si>
    <t>1656</t>
  </si>
  <si>
    <t>1657</t>
  </si>
  <si>
    <t>összesen  (13+…..+20)</t>
  </si>
  <si>
    <t xml:space="preserve">összesen (-Jegyzői Iroda-) </t>
  </si>
  <si>
    <t>2016.évi ktv               IV. mód.</t>
  </si>
  <si>
    <t>4.</t>
  </si>
  <si>
    <t>9.</t>
  </si>
  <si>
    <t>14.</t>
  </si>
  <si>
    <t>19.</t>
  </si>
  <si>
    <t>24.</t>
  </si>
  <si>
    <t>29.</t>
  </si>
  <si>
    <t>30.</t>
  </si>
  <si>
    <t>31.</t>
  </si>
  <si>
    <t>34.</t>
  </si>
  <si>
    <t>35.</t>
  </si>
  <si>
    <t>36.</t>
  </si>
  <si>
    <t>39.</t>
  </si>
  <si>
    <t>40.</t>
  </si>
  <si>
    <t>51.</t>
  </si>
  <si>
    <t>54.</t>
  </si>
  <si>
    <t>55.</t>
  </si>
  <si>
    <t>61.</t>
  </si>
  <si>
    <t>64.</t>
  </si>
  <si>
    <t>65.</t>
  </si>
  <si>
    <t>76.</t>
  </si>
  <si>
    <t>79.</t>
  </si>
  <si>
    <t>80.</t>
  </si>
  <si>
    <t>92.</t>
  </si>
  <si>
    <t>93.</t>
  </si>
  <si>
    <t xml:space="preserve">Közfoglalkoztatottak létszáma 2016.01.01-től (fő)  </t>
  </si>
  <si>
    <t xml:space="preserve">Közfoglalkoztatottak létszáma 2016.03.01-től (fő)  </t>
  </si>
  <si>
    <t>Országos és helyi népszavazással kapcsolatos tevékenységek</t>
  </si>
  <si>
    <t>Szervezeti egységek (II)</t>
  </si>
  <si>
    <t>Szervezeti egységek (I+II)</t>
  </si>
  <si>
    <t>összesen</t>
  </si>
  <si>
    <t>(1+…+28)</t>
  </si>
  <si>
    <t>56.</t>
  </si>
  <si>
    <t>59.</t>
  </si>
  <si>
    <t>60.</t>
  </si>
  <si>
    <t>Önkormányzat (I)</t>
  </si>
  <si>
    <t>Intézmények támogatása</t>
  </si>
  <si>
    <t>Polgármesteri Hivatal támogatása</t>
  </si>
  <si>
    <t>Korrekció összesen</t>
  </si>
  <si>
    <t>Önkormányzat (II)</t>
  </si>
  <si>
    <t xml:space="preserve"> (korrekció )</t>
  </si>
  <si>
    <t>Támogatásokból származó duplázódás miatt</t>
  </si>
  <si>
    <t xml:space="preserve"> korrigált összesen</t>
  </si>
  <si>
    <t>2016.évi ktv              V. mód.</t>
  </si>
  <si>
    <t>Differencia
+, -</t>
  </si>
  <si>
    <t>Működési jellegű címzett tartalék</t>
  </si>
  <si>
    <t>Egyházak működési célú támogatása</t>
  </si>
  <si>
    <t>Civil szervezetek pályázati kerete</t>
  </si>
  <si>
    <t>Polgármester célkerete</t>
  </si>
  <si>
    <t>Kárpát medencei magyar közösségek tám.</t>
  </si>
  <si>
    <t>Rendvédelmi, rendészeti szervezetek tám.kerete</t>
  </si>
  <si>
    <t xml:space="preserve">Környezetvédelmi alap </t>
  </si>
  <si>
    <t>Nyelvvizsga pályázat</t>
  </si>
  <si>
    <t>Tanulmányi ösztöndíj-pályázat</t>
  </si>
  <si>
    <t>Közművelődési, sport célú pályázati keret és Intézmények által szervezett rendezvények kerete 5 000 eFt</t>
  </si>
  <si>
    <t>SNI-s gyerekek pályázati kerete</t>
  </si>
  <si>
    <t>Likviditási tartalék</t>
  </si>
  <si>
    <t xml:space="preserve">Intézményi felmentés, végkielégítés </t>
  </si>
  <si>
    <t>Intézményvezetői prémium, jutalom</t>
  </si>
  <si>
    <t>Vis maior keret</t>
  </si>
  <si>
    <t>Intézmények beiskolázási támogatása</t>
  </si>
  <si>
    <t>Intézményi szociális segély kerete (temetés, betegség)</t>
  </si>
  <si>
    <t>Intézményi jutalomkeret</t>
  </si>
  <si>
    <t>Szakhatósági keret</t>
  </si>
  <si>
    <t>Hibaelhárítási  kerete</t>
  </si>
  <si>
    <t>Önkormányzat pályázati önrész kerete</t>
  </si>
  <si>
    <t xml:space="preserve">Kerületi tanulmányi versenyek szervezése </t>
  </si>
  <si>
    <t>Nemzeti Szabadidős - Egészség Sportpark programban való pályázat  önrész ( Nyírpalota út 1-21 sz. mögötti futópálya)</t>
  </si>
  <si>
    <t>Önk.pály.önrész - "Kábítószerügyi Egyeztető Fórumok működési feltételeinek biztosítására és programjainak támogatására" kiírt KAB-KEF-16-B25489 sz.pályázat</t>
  </si>
  <si>
    <t>Önk.pály.önrész - "Kábítószerproblémával kapcsolatos vizsgálatok, kutatások támogatására" kiírt KAB-KT-16-25490 sz.pályázat</t>
  </si>
  <si>
    <t>Önk.pály.önrész - "Öko-turisztikai infrastruktúra-fejlesztése a határ mentén" SKHU/1601 pályázat</t>
  </si>
  <si>
    <t xml:space="preserve">Önk.pály.önrész - "Komplex sportcsarnok-felújítási program - Pattogós utca 6-8. ingatlanon lévő tornacsarnok felújítása" </t>
  </si>
  <si>
    <t xml:space="preserve">Önk.pály.önrész - "Tornaterem felújítási program - Sződliget utca 24-30. ingatlanon lévő tornaterem felújítása" </t>
  </si>
  <si>
    <t xml:space="preserve">Önk.pály.önrész - "Bűnmegelőzési projektek megvalósítása" </t>
  </si>
  <si>
    <t>Önk.pály.önrész - szakosított szoc.ellátást és a gyermekek átmeneti gondozását szolgáló önkormányzati intézményk fejlesztése és felúj.</t>
  </si>
  <si>
    <t>Önk.pály.önrész - önkormányzati feladatellátást szolgáló fejlesztések támogatása</t>
  </si>
  <si>
    <t>"Tiszta porta" pályázat</t>
  </si>
  <si>
    <t>Spirál Ház garanciális javítási kiadásai</t>
  </si>
  <si>
    <t>Sport- és rendezvényközpont kiviteli terveinek elkészítése</t>
  </si>
  <si>
    <t>Népszavazás kiadásai</t>
  </si>
  <si>
    <t>Szabadon felhasználható maradvány tartalék</t>
  </si>
  <si>
    <t>Működési tartalék összesen:</t>
  </si>
  <si>
    <t>Felhalmozási jellegű címzett tartalék</t>
  </si>
  <si>
    <t>Egyházak felhalm.célú tám. - ebből Újpalotai Református Missziói Egyházközség 20 000 eFt</t>
  </si>
  <si>
    <t>Emléktáblák készítése, állítása</t>
  </si>
  <si>
    <t xml:space="preserve">Fejlesztési alap </t>
  </si>
  <si>
    <t>Felhalmozási tartalék összesen:</t>
  </si>
  <si>
    <t>Cimzett tartalékok összesen:</t>
  </si>
  <si>
    <t>Feladat</t>
  </si>
  <si>
    <t>2016.évi ktv. I. mód.</t>
  </si>
  <si>
    <t>Módosítás</t>
  </si>
  <si>
    <t>2016.évi teljesítés</t>
  </si>
  <si>
    <t>Teljes költség</t>
  </si>
  <si>
    <t>Források</t>
  </si>
  <si>
    <t>Bruttó</t>
  </si>
  <si>
    <t>nettó</t>
  </si>
  <si>
    <t>ÁFA</t>
  </si>
  <si>
    <t>önk-i saját</t>
  </si>
  <si>
    <t>átv.pe.</t>
  </si>
  <si>
    <t xml:space="preserve">közp.
tám.
</t>
  </si>
  <si>
    <t>önk-i               saját</t>
  </si>
  <si>
    <t>átv.                 pe.</t>
  </si>
  <si>
    <t xml:space="preserve">közp.          tám.
</t>
  </si>
  <si>
    <t>Össze-
sen</t>
  </si>
  <si>
    <t>átv. pe.</t>
  </si>
  <si>
    <t>I. Költségvetési intézmények felújítási feladatai</t>
  </si>
  <si>
    <t>Rákos út 77/A. rendelőegységek felújítása</t>
  </si>
  <si>
    <t>Rákos út 77/A. átszervezésekkel, költözésekkel kapcsolatos felújítási feladatok</t>
  </si>
  <si>
    <r>
      <t>Rákos út 77/A homlokzatfelújítás</t>
    </r>
    <r>
      <rPr>
        <b/>
        <sz val="10"/>
        <rFont val="Times New Roman"/>
        <family val="1"/>
        <charset val="238"/>
      </rPr>
      <t xml:space="preserve"> SzM</t>
    </r>
  </si>
  <si>
    <t>Egyesített Bölcsödék</t>
  </si>
  <si>
    <t>XV/6. Wesselényi úti Bölcsőde felújítása (tálaló és tejkonyha felúj., nyílászárók cseréje, radiátorélvédők és beép.szekrények cseréje, festés, padlóburkolat csere)</t>
  </si>
  <si>
    <t>XV/10. Kontyfa utcai Bölcsőde főbejárat akadálymentesítése, pincei alapvezeték cseréje</t>
  </si>
  <si>
    <t>XV/12. Nádastó park 1. Bölcsőde felújítása (tejkonyha és átadó felúj., nyílászárók cseréje, csop.szobák felújítása és festése)</t>
  </si>
  <si>
    <t>XV/5. Kavicsos közi Bölcsőde felújítása (nyílászáró csere, csop.szobák felújítása, öntözőrendszer, festés)</t>
  </si>
  <si>
    <t>XV/2. Bezsilla utcai Bölcsőde felújítása (nyílászárók cseréje, bejárati előtér, homlokzat, magastető felújítása, festés)</t>
  </si>
  <si>
    <t>XV/12. Nádastó park Bőlcsőde lapostető szigetelés felújítása</t>
  </si>
  <si>
    <t xml:space="preserve">XV/6. Wesswlényi úti Bölcsőde udvari előtetők felújítása </t>
  </si>
  <si>
    <t>Fejlesztő Gondozó Központ felújítása (tetőszigetelése, bejárati előtető, burkolat, szennyvíz alap-vezeték felújítása, tisztasági festés, homlokzati nyílászárók cseréje)</t>
  </si>
  <si>
    <t>Budai II. Stadion mosógépek, szárítógépek, vasalógépek cseréje</t>
  </si>
  <si>
    <t>Budai II. Stadion tanszálló felújítása</t>
  </si>
  <si>
    <t>Vasgolyó utcai Sporttelep új öltöző és vizesblokk kialakítása</t>
  </si>
  <si>
    <t>Tanuszoda szellőzőrendszerének korszerűsítése</t>
  </si>
  <si>
    <t>Tanuszoda akklimatizációs tér bővítése</t>
  </si>
  <si>
    <t>Bernecebaráti Üdülő homokozó és játszótér kialakítása</t>
  </si>
  <si>
    <t>Bernecebaráti Üdülő központi épület vizesblokk kialakítása</t>
  </si>
  <si>
    <t>Bernecebaráti Üdülő kúria épület szigetelése, festése</t>
  </si>
  <si>
    <t>Agárdi Üdülő konyha felújítás, felszerelés korszerűsítése</t>
  </si>
  <si>
    <t>Agárdi Üdülő játszótér kialakítása, kerti bútor telepítése</t>
  </si>
  <si>
    <t>Agárdi Üdülő télesítése</t>
  </si>
  <si>
    <r>
      <t xml:space="preserve">Bernecebaráti Gyermektábor felújítása </t>
    </r>
    <r>
      <rPr>
        <b/>
        <sz val="10"/>
        <rFont val="Times New Roman"/>
        <family val="1"/>
        <charset val="238"/>
      </rPr>
      <t>M</t>
    </r>
  </si>
  <si>
    <r>
      <t>Agárdi üdülő nyílászáró csere és vizesblokk felújítás</t>
    </r>
    <r>
      <rPr>
        <b/>
        <sz val="10"/>
        <rFont val="Times New Roman"/>
        <family val="1"/>
        <charset val="238"/>
      </rPr>
      <t xml:space="preserve"> M</t>
    </r>
  </si>
  <si>
    <t>Agárdi Üdülő kerítés csere, felújítása</t>
  </si>
  <si>
    <t>Nyári tábor Budai II.Stadion mosdók felújítása</t>
  </si>
  <si>
    <t>Érdekeltségnövelő pályázat (Önkormányzati rész)</t>
  </si>
  <si>
    <t>Klapka utcai Tagóvoda felújítása (terasz és tálalókonyha felújítása)</t>
  </si>
  <si>
    <t>Bocskai utcai Tagóvoda folyosó, csop.szoba padlóburkolat cseréje</t>
  </si>
  <si>
    <t>Klapka Gy u. két fűtésköri szivattyú cseréje</t>
  </si>
  <si>
    <t>Klapka Gy. U. drótüveg előtető cseréje, ereszcsatorna</t>
  </si>
  <si>
    <t>Árendás Tagóvoda épületen belüli esőcsatorna feltárása és cseréje, beép.szekrények cseréje</t>
  </si>
  <si>
    <r>
      <t xml:space="preserve">Nyílászáró csere és tisztasági festés </t>
    </r>
    <r>
      <rPr>
        <b/>
        <sz val="10"/>
        <rFont val="Times New Roman"/>
        <family val="1"/>
        <charset val="238"/>
      </rPr>
      <t>M</t>
    </r>
  </si>
  <si>
    <t>Hartyán főzőkonyha felújítása</t>
  </si>
  <si>
    <t>Hattyán köz 3.-Palota-15 Kft.Foglalkoztató központ feletti lapostető szigetelése</t>
  </si>
  <si>
    <t>Csoportszobákban homlokzati nyílászárók cseréje (I.sz.Tagó.)</t>
  </si>
  <si>
    <t>Régi Fóti úti Tagóvoda felújítása (3 db csop.szobában parketta padlóburkolt komplett felújítása, gyermekfürdők és tálalókonyha komplett felúj., elektromos vezetékek felújítása, udvari homlokzat vakolat javítása és festése, világítás korszerűsítés)</t>
  </si>
  <si>
    <t>Szövőgyár utcai Tagóvoda nyílászárók cseréje, fsz-i irodák ablakainak cseréje</t>
  </si>
  <si>
    <t>Szövőgyár utcai homlokzaton 2 db ablak csere, földszinten távnyitók elhelyezése</t>
  </si>
  <si>
    <t>Ablakcseréhez kapcsolódó felújítási munkák</t>
  </si>
  <si>
    <t>2 db udvari bejárati ajtó csere (Vácrátót tér)</t>
  </si>
  <si>
    <t>Vadvirág Óvoda</t>
  </si>
  <si>
    <t>Aulich Tagóvoda udvari csatorna alapvezeték felújítása</t>
  </si>
  <si>
    <t>Bújócska Tagóvoda felújítása (elektromos felújítás, világosítás korszerűsítés, nyílászárók cseréje, betonkerítés cseréje)</t>
  </si>
  <si>
    <t>Nyílászárók cseréje, külső terasz vízszigetelésének javítása, felnőtt vizesblokkok komplett felújítása, konyha és fürdők tisztasági festése, fűtés korszerűsítés, hőmennyiség mérésének kialakítása, bekötő csatorna felújítása, tornafolyosó felújítása</t>
  </si>
  <si>
    <t>Külső terasz vízszigetelés javítása</t>
  </si>
  <si>
    <t>Tisztasági festés, külső nyílászárók cseréje, gépészeti felújítás, nyomó- és lefolyóvezetékek feltárása és cseréje, terasz felújítás, lapostető szigetelés, hőközpont és szek.fűtés korszerűsítése</t>
  </si>
  <si>
    <t>Árnyékoló lamellák beépítése, árnyékoló hálók, ajtócsere</t>
  </si>
  <si>
    <t>Patolat u.eresz ejtővezető megépítése, tetőföld cseréje kavics ágyazatra</t>
  </si>
  <si>
    <t>Kavicsos közi Tagóvoda hidegburkolat csere</t>
  </si>
  <si>
    <t>GMK Központ (Karbantartó Műhely) magastető felújítás, kéményfejek visszabontása, udvari homlokzatok, gépkocsi tároló felújítása</t>
  </si>
  <si>
    <t>Dózsa Gy. Gimnázium Fő út 70. épülettel kapcsolatos tervezési költségek</t>
  </si>
  <si>
    <t>Kossuth Ált.Isk. bejárati portál komplett cseréje, folyosói mosdók felújítása, lapostető szigetelés,
tantermek PVC cseréje, tisztasági festés</t>
  </si>
  <si>
    <t>Czabán Ált.Isk. lapostető szigetelés, vakolat javítás, angolakna felújítása</t>
  </si>
  <si>
    <t>Hubay hiányzó homlokzati díszek pótlása</t>
  </si>
  <si>
    <t>Kolozsvár Ált.Isk. felújítása (magastető héjazat cseréje, kazánház lapostető szigetelése, betonfelületek javítása, nyílászárók cseréje, PVC burkolatok cseréje, fűtési csövek állagfelmérése, tisztasági festés)</t>
  </si>
  <si>
    <t>Szent Korona Ált.Isk. felújítása (csapadékvíz elvezető cseréje, tisztasági festés, beépített szekrények cseréje, burkolatok cseréje, homlokzati nyílászáró portálok cseréje, lépcső balesetmentesítése, vizesblokkok felújítása, PVC padló leragasztása)</t>
  </si>
  <si>
    <t>Kerületi Nevelési Tanácsadó felújítása (nyílászárók cseréje, gépészeti felújítás)</t>
  </si>
  <si>
    <t>László Gyula Gimnázium felújítása (tantermek tisztasági festése, parketta csiszolás és lakkozás, fsz-i vizesblokkok felújítása, nyílászáró csere, pályázati terveztetés)</t>
  </si>
  <si>
    <t>Pestújhelyi Ált.Isk. felújítása (tantermek PVC burkolatának cseréje, tornaöltöző és mosdó, valamint világítás korszerűsítése, tisztasági festés)</t>
  </si>
  <si>
    <t>Meixner Iskola csatorna alapvezeték csere, tetőkarbantartás (GMK)</t>
  </si>
  <si>
    <r>
      <t>Czabán Ált.Isk. kazánház rekonstrukció</t>
    </r>
    <r>
      <rPr>
        <b/>
        <sz val="10"/>
        <color indexed="10"/>
        <rFont val="Times New Roman"/>
        <family val="1"/>
        <charset val="238"/>
      </rPr>
      <t xml:space="preserve"> M</t>
    </r>
  </si>
  <si>
    <r>
      <t>Kossuth Ált.Isk. udvar burkolat felújítása</t>
    </r>
    <r>
      <rPr>
        <b/>
        <sz val="10"/>
        <color indexed="10"/>
        <rFont val="Times New Roman"/>
        <family val="1"/>
        <charset val="238"/>
      </rPr>
      <t xml:space="preserve"> M</t>
    </r>
  </si>
  <si>
    <r>
      <t xml:space="preserve">GMK kavicsos főzőkonyha-főzőüst felújítás </t>
    </r>
    <r>
      <rPr>
        <b/>
        <sz val="10"/>
        <color indexed="10"/>
        <rFont val="Times New Roman"/>
        <family val="1"/>
        <charset val="238"/>
      </rPr>
      <t>M</t>
    </r>
  </si>
  <si>
    <t>GMK kavicsos főzőkonyha új bejárat kialakítása</t>
  </si>
  <si>
    <t>Száraznád Iskola felújítási munkálatai</t>
  </si>
  <si>
    <t>Kontyfa u.5 iskola udvarán a földben lévő víz főnyomócső javítása</t>
  </si>
  <si>
    <t xml:space="preserve">Kossuth Lajos Ált.Isk. földszinti lány wc blokk csatorna bekötésének gyakori dugulása miatt, a csatornaszakasz cseréje </t>
  </si>
  <si>
    <t>Meixner Ált.IskPerczel Mór utcafronti tetőszerkezet beázás miatti legszükségesebb javítása</t>
  </si>
  <si>
    <t>Meixner Iskola ereszdeszkázat és esőcsatorna csere</t>
  </si>
  <si>
    <t>I. Intézményi összesen</t>
  </si>
  <si>
    <t xml:space="preserve">Polgármesteri Hivatal saját felújításai </t>
  </si>
  <si>
    <t>Nyílászárók cseréje</t>
  </si>
  <si>
    <t>Fűtés korszerűsítés, fűtési rendszer szakaszolása,vezeték cserék</t>
  </si>
  <si>
    <t>64003.</t>
  </si>
  <si>
    <t>Informatikai eszközök felújítása</t>
  </si>
  <si>
    <t>64004.</t>
  </si>
  <si>
    <t>Illyés Gyula u. 28. ingatlan felújítás</t>
  </si>
  <si>
    <t>II. Polgármesteri Hivatal összesen</t>
  </si>
  <si>
    <t xml:space="preserve">Városgazdálkodási tevékenység </t>
  </si>
  <si>
    <t>Járda felújítási pályázat</t>
  </si>
  <si>
    <t>Járda felújítás általános</t>
  </si>
  <si>
    <t>Járda felújítás parkokban és lakótelepeken</t>
  </si>
  <si>
    <t>Útfelújítás: Bercsényi u. ( Szerencs-Wesselényi között)</t>
  </si>
  <si>
    <t>Útfelújítás: Jánoshida u. ( Szerencs-Nádastó között)</t>
  </si>
  <si>
    <t>Útfelújítás: Klebelsberg K. u. (Pestújhelyi tér -Ady E. között)</t>
  </si>
  <si>
    <t>Közlekedési korrekciók</t>
  </si>
  <si>
    <t>Parkoló felújítások (Páskomliget u. folytatás)</t>
  </si>
  <si>
    <t>Játszótér feljújítás</t>
  </si>
  <si>
    <t>Sportpályák, dühöngők felújítása</t>
  </si>
  <si>
    <t>Kontyfa u. 3. idősek nappali ellátója</t>
  </si>
  <si>
    <r>
      <t xml:space="preserve">Liva malom felújítása </t>
    </r>
    <r>
      <rPr>
        <b/>
        <sz val="10"/>
        <rFont val="Times New Roman"/>
        <family val="1"/>
        <charset val="238"/>
      </rPr>
      <t>M</t>
    </r>
  </si>
  <si>
    <r>
      <t>Járda felújítás pályzat</t>
    </r>
    <r>
      <rPr>
        <b/>
        <sz val="10"/>
        <rFont val="Times New Roman"/>
        <family val="1"/>
        <charset val="238"/>
      </rPr>
      <t xml:space="preserve"> M</t>
    </r>
  </si>
  <si>
    <r>
      <t xml:space="preserve">Bácska u. parkoló felújítása  </t>
    </r>
    <r>
      <rPr>
        <b/>
        <sz val="10"/>
        <rFont val="Times New Roman"/>
        <family val="1"/>
        <charset val="238"/>
      </rPr>
      <t>M</t>
    </r>
  </si>
  <si>
    <r>
      <t xml:space="preserve">Út- és csatorna felújítás - Hősök útja  </t>
    </r>
    <r>
      <rPr>
        <b/>
        <sz val="10"/>
        <rFont val="Times New Roman"/>
        <family val="1"/>
        <charset val="238"/>
      </rPr>
      <t>M</t>
    </r>
  </si>
  <si>
    <r>
      <t xml:space="preserve">Civil és nemzetiségi ház kialakítása (Népfelkelő u. 96.)  </t>
    </r>
    <r>
      <rPr>
        <b/>
        <sz val="10"/>
        <rFont val="Times New Roman"/>
        <family val="1"/>
        <charset val="238"/>
      </rPr>
      <t>M</t>
    </r>
  </si>
  <si>
    <r>
      <t xml:space="preserve">Hagyományos épületek taljavíz elleni szigetelése </t>
    </r>
    <r>
      <rPr>
        <b/>
        <sz val="10"/>
        <rFont val="Times New Roman"/>
        <family val="1"/>
        <charset val="238"/>
      </rPr>
      <t>M</t>
    </r>
  </si>
  <si>
    <t>Arany J.u.Ingatlan felújítása</t>
  </si>
  <si>
    <t>Illyés Gyula u. 28. Ingatlan felújítás</t>
  </si>
  <si>
    <t>Aporháza u. 61. ingatlan ablakcsere</t>
  </si>
  <si>
    <t>Útfelújítás: Őrjárat u. ( Gergő - Nadastó között)</t>
  </si>
  <si>
    <t>Parkoló felújítások (Pákompark,Páskomliget 47-49., Énekes út 1.)</t>
  </si>
  <si>
    <t>Erdőkerülő u. dühöngő burkolatfelújítása</t>
  </si>
  <si>
    <t>Játszótér felújítás - Erdőkerülő u. "Szirom játszótér"</t>
  </si>
  <si>
    <t>Saját v. bérelt ingatlan hasznosítása (Palota Holding Rt.)</t>
  </si>
  <si>
    <t>Lakás felújítási alap</t>
  </si>
  <si>
    <r>
      <t xml:space="preserve">Lakás felújítási alap </t>
    </r>
    <r>
      <rPr>
        <b/>
        <sz val="10"/>
        <rFont val="Times New Roman"/>
        <family val="1"/>
        <charset val="238"/>
      </rPr>
      <t>M</t>
    </r>
  </si>
  <si>
    <r>
      <t xml:space="preserve">Nyugdíjas ház nyílászáró csere </t>
    </r>
    <r>
      <rPr>
        <b/>
        <sz val="10"/>
        <rFont val="Times New Roman"/>
        <family val="1"/>
        <charset val="238"/>
      </rPr>
      <t>M</t>
    </r>
  </si>
  <si>
    <t>Siemens által bérelt lakások felújítása</t>
  </si>
  <si>
    <t>Vezetékes műsorelosztás, városi és kábelteleviziós rendszerek (Média)</t>
  </si>
  <si>
    <t>III. XV. ker. Önkormányzat összesen</t>
  </si>
  <si>
    <r>
      <t xml:space="preserve">IV. Önkormányzat összesen </t>
    </r>
    <r>
      <rPr>
        <sz val="12"/>
        <rFont val="Times New Roman"/>
        <family val="1"/>
        <charset val="238"/>
      </rPr>
      <t>(I+IV.)</t>
    </r>
  </si>
  <si>
    <t>I. Költségvetési intézmények fejlesztési feladatai</t>
  </si>
  <si>
    <t>Nagyértékű orvosi műszer beszerzés</t>
  </si>
  <si>
    <t>Kisértékű orvosi műszer beszerzés</t>
  </si>
  <si>
    <t>Informatikai gép, berendezés beszerzés</t>
  </si>
  <si>
    <t>Tehergépkocsi beszerzés</t>
  </si>
  <si>
    <t>Szoftver beszerzés (win7)</t>
  </si>
  <si>
    <t>Kisértékű egyéb gép beszerzés</t>
  </si>
  <si>
    <t>Klíma beszerzés</t>
  </si>
  <si>
    <r>
      <t xml:space="preserve">Iktatóprogram beszerzés </t>
    </r>
    <r>
      <rPr>
        <b/>
        <sz val="10"/>
        <rFont val="Times New Roman"/>
        <family val="1"/>
        <charset val="238"/>
      </rPr>
      <t>M</t>
    </r>
  </si>
  <si>
    <r>
      <t xml:space="preserve">Mikrohull. Kapcs. Kiép. + eszközök </t>
    </r>
    <r>
      <rPr>
        <b/>
        <sz val="10"/>
        <rFont val="Times New Roman"/>
        <family val="1"/>
        <charset val="238"/>
      </rPr>
      <t>M</t>
    </r>
  </si>
  <si>
    <r>
      <t xml:space="preserve">Hardver, szoftver beszezés </t>
    </r>
    <r>
      <rPr>
        <b/>
        <sz val="10"/>
        <rFont val="Times New Roman"/>
        <family val="1"/>
        <charset val="238"/>
      </rPr>
      <t>M</t>
    </r>
  </si>
  <si>
    <r>
      <t xml:space="preserve">Szeméyi számítógépek, nyomtatók beszerzés </t>
    </r>
    <r>
      <rPr>
        <b/>
        <sz val="10"/>
        <rFont val="Times New Roman"/>
        <family val="1"/>
        <charset val="238"/>
      </rPr>
      <t>M</t>
    </r>
  </si>
  <si>
    <r>
      <t xml:space="preserve">Szemészeti réslámpa </t>
    </r>
    <r>
      <rPr>
        <b/>
        <sz val="10"/>
        <rFont val="Times New Roman"/>
        <family val="1"/>
        <charset val="238"/>
      </rPr>
      <t>M</t>
    </r>
  </si>
  <si>
    <r>
      <t xml:space="preserve">Audiométer </t>
    </r>
    <r>
      <rPr>
        <b/>
        <sz val="10"/>
        <rFont val="Times New Roman"/>
        <family val="1"/>
        <charset val="238"/>
      </rPr>
      <t>M</t>
    </r>
  </si>
  <si>
    <r>
      <t xml:space="preserve">Elektromos vizsgálószék </t>
    </r>
    <r>
      <rPr>
        <b/>
        <sz val="10"/>
        <rFont val="Times New Roman"/>
        <family val="1"/>
        <charset val="238"/>
      </rPr>
      <t>M</t>
    </r>
  </si>
  <si>
    <r>
      <t>Mennyezeti műtőlámpa</t>
    </r>
    <r>
      <rPr>
        <b/>
        <sz val="10"/>
        <rFont val="Times New Roman"/>
        <family val="1"/>
        <charset val="238"/>
      </rPr>
      <t xml:space="preserve"> M</t>
    </r>
  </si>
  <si>
    <r>
      <t xml:space="preserve">Kisértékű orvosi műszerek beszerzése </t>
    </r>
    <r>
      <rPr>
        <b/>
        <sz val="10"/>
        <rFont val="Times New Roman"/>
        <family val="1"/>
        <charset val="238"/>
      </rPr>
      <t>M</t>
    </r>
  </si>
  <si>
    <r>
      <t xml:space="preserve">Új nőgyógyászati UH </t>
    </r>
    <r>
      <rPr>
        <b/>
        <sz val="10"/>
        <rFont val="Times New Roman"/>
        <family val="1"/>
        <charset val="238"/>
      </rPr>
      <t>SzM</t>
    </r>
  </si>
  <si>
    <t>Virusírtó licensz</t>
  </si>
  <si>
    <t>Kisértékű egyéb gép, berendezés beszerzés</t>
  </si>
  <si>
    <t>Kisértékű informatikai eszköz beszerzés</t>
  </si>
  <si>
    <t>XV/2. Bezsilla utcai Bölcsőde HMV bojler csere</t>
  </si>
  <si>
    <t>XV/3. Fő úti Bölcsőde öntözőrendszer</t>
  </si>
  <si>
    <r>
      <t xml:space="preserve">Csoportszobák beépített szekrényeinak cseréje (XV/10 Kontyfa) </t>
    </r>
    <r>
      <rPr>
        <b/>
        <sz val="10"/>
        <rFont val="Times New Roman"/>
        <family val="1"/>
        <charset val="238"/>
      </rPr>
      <t>M</t>
    </r>
  </si>
  <si>
    <r>
      <t xml:space="preserve">Intézményi játszóeszköz és sporteszközök cseréje </t>
    </r>
    <r>
      <rPr>
        <b/>
        <sz val="10"/>
        <rFont val="Times New Roman"/>
        <family val="1"/>
        <charset val="238"/>
      </rPr>
      <t>SzM</t>
    </r>
  </si>
  <si>
    <t>XV/5. Kavicsos közi Bölcsőde-automata öntözőrendszer kialakítása</t>
  </si>
  <si>
    <t>Intézményi weboldal tervezése</t>
  </si>
  <si>
    <t>Operációs rendszer, irodai szoftvercsomag beszerzés</t>
  </si>
  <si>
    <t>Fejlesztő Gondozó Központ ablakok szúnyoghálóval történő felszerelése</t>
  </si>
  <si>
    <r>
      <t>FENO 25.évforduló</t>
    </r>
    <r>
      <rPr>
        <sz val="10"/>
        <color indexed="9"/>
        <rFont val="Times New Roman"/>
        <family val="1"/>
        <charset val="238"/>
      </rPr>
      <t>ra hintaágy</t>
    </r>
  </si>
  <si>
    <r>
      <t xml:space="preserve">Kisértékű egyéb gép berendezés beszerzése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</si>
  <si>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Árendás köz 4-6. ép.irodák kialakítása </t>
    </r>
    <r>
      <rPr>
        <b/>
        <sz val="10"/>
        <color indexed="10"/>
        <rFont val="Times New Roman"/>
        <family val="1"/>
        <charset val="238"/>
      </rPr>
      <t>M</t>
    </r>
  </si>
  <si>
    <r>
      <t>Betegemelő (alapítványi tám.)</t>
    </r>
    <r>
      <rPr>
        <b/>
        <sz val="10"/>
        <color indexed="10"/>
        <rFont val="Times New Roman"/>
        <family val="1"/>
        <charset val="238"/>
      </rPr>
      <t xml:space="preserve"> M</t>
    </r>
  </si>
  <si>
    <r>
      <t xml:space="preserve">Család és gyermekjóléti központ eszk.besz.(BMÖGF/615-2/2015 tám.okirat) </t>
    </r>
    <r>
      <rPr>
        <b/>
        <sz val="10"/>
        <color indexed="10"/>
        <rFont val="Times New Roman"/>
        <family val="1"/>
        <charset val="238"/>
      </rPr>
      <t>M</t>
    </r>
  </si>
  <si>
    <t>Család és gyermekjóléti központ kliensnyilvántartó program szoftverfejlesztése</t>
  </si>
  <si>
    <t>NRSZH által jóváhagyott fejlesztés-szociális foglalkozás</t>
  </si>
  <si>
    <t>Szocionet program bővítése</t>
  </si>
  <si>
    <t>Nagyértékű besorolású eszk.beszerzés</t>
  </si>
  <si>
    <t>Csokonai Kulturális és Spotközpont</t>
  </si>
  <si>
    <t>Szoftverek, informatikai programok beszerzése (SZIKLA-21 könyvtári szoftver, NOD32 vírusírtó, windows)</t>
  </si>
  <si>
    <t xml:space="preserve">Gépkocsi beszerzés </t>
  </si>
  <si>
    <t>Műtárgyak vásárlása (NKA-tól)</t>
  </si>
  <si>
    <r>
      <t xml:space="preserve">Kertészeti gépek beszerzése </t>
    </r>
    <r>
      <rPr>
        <b/>
        <sz val="10"/>
        <rFont val="Times New Roman"/>
        <family val="1"/>
        <charset val="238"/>
      </rPr>
      <t>M</t>
    </r>
  </si>
  <si>
    <r>
      <t>Műtárgyak vásárlása</t>
    </r>
    <r>
      <rPr>
        <b/>
        <sz val="10"/>
        <rFont val="Times New Roman"/>
        <family val="1"/>
        <charset val="238"/>
      </rPr>
      <t xml:space="preserve"> M</t>
    </r>
  </si>
  <si>
    <r>
      <t xml:space="preserve">Csokonai Művház színpad </t>
    </r>
    <r>
      <rPr>
        <b/>
        <sz val="10"/>
        <rFont val="Times New Roman"/>
        <family val="1"/>
        <charset val="238"/>
      </rPr>
      <t>M</t>
    </r>
  </si>
  <si>
    <t>Takarítógép</t>
  </si>
  <si>
    <t>Raklapemelő 2,5 T</t>
  </si>
  <si>
    <t>Bútorok</t>
  </si>
  <si>
    <t>Állvány (3 db)</t>
  </si>
  <si>
    <t>Létrák (3 db)</t>
  </si>
  <si>
    <t>Sörpad (10 garnitúra)</t>
  </si>
  <si>
    <t xml:space="preserve">Vérnyomásmérő </t>
  </si>
  <si>
    <t>Kávéfőző (2 db)</t>
  </si>
  <si>
    <t>Porszívó (2 db)</t>
  </si>
  <si>
    <t>Monitor (10 db)</t>
  </si>
  <si>
    <t>Flipchart tábla (3 db)</t>
  </si>
  <si>
    <t>Mikrohullámú sütő (3 db)</t>
  </si>
  <si>
    <t xml:space="preserve">Számítógép konfiguráció (10 db) </t>
  </si>
  <si>
    <t>Karbantartási szerszámok</t>
  </si>
  <si>
    <t>Színpadi berendezések</t>
  </si>
  <si>
    <t>Nyomtató (3 db)</t>
  </si>
  <si>
    <t>Projektor vetítővászonnal (2 db)</t>
  </si>
  <si>
    <t>Hűtőszekrény (2 db)</t>
  </si>
  <si>
    <t>Notebook (2 db)</t>
  </si>
  <si>
    <t>Konyhai gépek (táborokba)</t>
  </si>
  <si>
    <t>Tűzhelyek (2 db)</t>
  </si>
  <si>
    <t>Asztali telefonkészülék (6 db)</t>
  </si>
  <si>
    <t>Számológép (5 db)</t>
  </si>
  <si>
    <t>Érdekeltség növelő támogatás ( műszaki technikai eszköz bőv., berend. tárgyak gyarapítása, ép. felújítás, karbantartás )</t>
  </si>
  <si>
    <t>Fejlesztési támogatás ( műtárgyak vásárlása)</t>
  </si>
  <si>
    <t>Tanuszoda - keringető szivattyú csere</t>
  </si>
  <si>
    <t>Központi tám.-Kubinyi Ágoston Program - kiállítások korszerűsítése - (muzeális intézmények szakmai támogatása)</t>
  </si>
  <si>
    <t>Érdekeltség növelő támogatás ( műszaki technikai eszköz bőv., berend. tárgyak gyarapítása, ép. felújítás, karbantartás ) Önkormányzati rész</t>
  </si>
  <si>
    <t>Kisértékű gép, berendezés beszerzés</t>
  </si>
  <si>
    <t>Klapka utcai Tagóvoda riasztó rendszer átépítése</t>
  </si>
  <si>
    <r>
      <t xml:space="preserve">Árendás köz 4. telephely vizesblokk kialakítása </t>
    </r>
    <r>
      <rPr>
        <b/>
        <sz val="10"/>
        <rFont val="Times New Roman"/>
        <family val="1"/>
        <charset val="238"/>
      </rPr>
      <t>M</t>
    </r>
  </si>
  <si>
    <r>
      <t>Óvoda belső udvarrész rekonstrukció</t>
    </r>
    <r>
      <rPr>
        <b/>
        <sz val="10"/>
        <rFont val="Times New Roman"/>
        <family val="1"/>
        <charset val="238"/>
      </rPr>
      <t xml:space="preserve"> SzM</t>
    </r>
  </si>
  <si>
    <r>
      <t xml:space="preserve">Hartyán köz 3. - Palota Polg.Őr. Egy. helyiség kialakítás  </t>
    </r>
    <r>
      <rPr>
        <b/>
        <sz val="10"/>
        <rFont val="Times New Roman"/>
        <family val="1"/>
        <charset val="238"/>
      </rPr>
      <t>SzM</t>
    </r>
  </si>
  <si>
    <t>Árendás Tagóvoda, beép.szekrények cseréje</t>
  </si>
  <si>
    <t>Nádastó park 1. udvari játszóeszk.cseréje, gumi-burkolat telepítése, játékház cseréje, mászóka és vár telepítése</t>
  </si>
  <si>
    <t>Nádastó park 1. terasz előtető készítése</t>
  </si>
  <si>
    <r>
      <t xml:space="preserve">Belső udvar kialakítása </t>
    </r>
    <r>
      <rPr>
        <b/>
        <sz val="10"/>
        <rFont val="Times New Roman"/>
        <family val="1"/>
        <charset val="238"/>
      </rPr>
      <t>SzM</t>
    </r>
  </si>
  <si>
    <t>Vácrátót téri Tagóvoda teraszon lévő napernyők</t>
  </si>
  <si>
    <t>Vácrátót téri Tagóvoda folyosói állmennyezet csere</t>
  </si>
  <si>
    <t>Aulich Óvoda konyhabútor csere</t>
  </si>
  <si>
    <t>Aulich Tagóvoda elektromos kapunyitó kiépítése</t>
  </si>
  <si>
    <r>
      <t>Kisértékű egyéb gép, berendezés beszerzés</t>
    </r>
    <r>
      <rPr>
        <b/>
        <sz val="10"/>
        <rFont val="Times New Roman"/>
        <family val="1"/>
        <charset val="238"/>
      </rPr>
      <t xml:space="preserve"> M</t>
    </r>
  </si>
  <si>
    <t>Felvonó hidraulika és vezérlés komplett cseréje</t>
  </si>
  <si>
    <t>Kavicsos köz 6. - emeleti tornaszoba kialakítása</t>
  </si>
  <si>
    <t>Árnyékolók felszerelése</t>
  </si>
  <si>
    <t>Automata öntözőrendszer (öntözőfelület kialakítása, tervezés, kiépítés, beszabályozás)</t>
  </si>
  <si>
    <t xml:space="preserve">Intézményi esővédő gumiburkolatok kialakítása és játszóeszköz cseréje </t>
  </si>
  <si>
    <t>II.  Gazdasági Működtetési Központ</t>
  </si>
  <si>
    <t>Esőtető építése (Czabán Ált.Isk.)</t>
  </si>
  <si>
    <t>Életvesz.,romos épületrész bontása, öntöző-vízesblokk (Dózsa Gimn.)</t>
  </si>
  <si>
    <t>Kazánház és fűtési hál.hirdraulikai szétválaszt.,szivattyú beép.,szabályozószelepek beépítése (Károl yR.Ált.Isk.)</t>
  </si>
  <si>
    <t>Informatikai gép, berendezés beszerzés (GMK - szerver merevlemez csere)</t>
  </si>
  <si>
    <r>
      <t xml:space="preserve">Kisértékű informatikai eszköz beszerzés (GMK Központ) </t>
    </r>
    <r>
      <rPr>
        <b/>
        <sz val="10"/>
        <rFont val="Times New Roman"/>
        <family val="1"/>
        <charset val="238"/>
      </rPr>
      <t>PM</t>
    </r>
  </si>
  <si>
    <t>Kisértékű informatikai gép, berendezés beszerzés (GMK)</t>
  </si>
  <si>
    <t>Egyéb gép, berendezés beszerzés (GMK - porelszívó, kertészeti gépek, ipari hűtő, fénymásoló)</t>
  </si>
  <si>
    <t>Kisértékű gép, berendezés beszerzés (GMK)</t>
  </si>
  <si>
    <t>Szoftver licenszdíj Multischool3 étkezésmegrendelő és számlázó program</t>
  </si>
  <si>
    <t>GMK Központ keleti homlokzatú irodákba klímák beszerzése</t>
  </si>
  <si>
    <t>Jármű beszerzés (GMK - Ford Tranzit)</t>
  </si>
  <si>
    <t>Czabán Ált.Isk. udvari játszóeszközök telepítése</t>
  </si>
  <si>
    <t>Hubay szivattyúk cseréje energiatakarékos szivattyúkra</t>
  </si>
  <si>
    <t>Szent Korona Ált.Isk. villamos hálózat és világítás korszerűsítése</t>
  </si>
  <si>
    <t>Ker.Nev.Tan. (Ped.Szakszolg.) tornaszoba és kiszolg.helyiségek kialakítása</t>
  </si>
  <si>
    <t>Meixner Iskola műfüves pályához vezető beton térburkolatú járda kialakítása, tornaterem előtti bejárat burkolása (GMK)</t>
  </si>
  <si>
    <t>Közfoglalkoztatás beruházási célú tám. (10115/26/00373.sz.szerződés alapján)</t>
  </si>
  <si>
    <r>
      <t xml:space="preserve">Pestújhelyi Ált.Isk. Kazáncsere jogsz.előírástól eltérő rendszer helyreállítása </t>
    </r>
    <r>
      <rPr>
        <b/>
        <sz val="10"/>
        <rFont val="Times New Roman"/>
        <family val="1"/>
        <charset val="238"/>
      </rPr>
      <t>M</t>
    </r>
  </si>
  <si>
    <r>
      <t xml:space="preserve">Dózsa Gimnázium volt gondnoki lakás tanári szobává alakítása </t>
    </r>
    <r>
      <rPr>
        <b/>
        <sz val="10"/>
        <rFont val="Times New Roman"/>
        <family val="1"/>
        <charset val="238"/>
      </rPr>
      <t>M</t>
    </r>
  </si>
  <si>
    <r>
      <t xml:space="preserve">Konytyfa Isk. fénymásoló alkatrész csere </t>
    </r>
    <r>
      <rPr>
        <b/>
        <sz val="10"/>
        <rFont val="Times New Roman"/>
        <family val="1"/>
        <charset val="238"/>
      </rPr>
      <t>M</t>
    </r>
  </si>
  <si>
    <r>
      <t xml:space="preserve">Vonalkód leolvasó készülék (GMK) </t>
    </r>
    <r>
      <rPr>
        <b/>
        <sz val="10"/>
        <rFont val="Times New Roman"/>
        <family val="1"/>
        <charset val="238"/>
      </rPr>
      <t>M</t>
    </r>
  </si>
  <si>
    <r>
      <t>Hartyán Ált.Isk. udvari honlokzat burkolata</t>
    </r>
    <r>
      <rPr>
        <b/>
        <sz val="10"/>
        <rFont val="Times New Roman"/>
        <family val="1"/>
        <charset val="238"/>
      </rPr>
      <t xml:space="preserve"> M</t>
    </r>
  </si>
  <si>
    <r>
      <t xml:space="preserve">Czabán Ált.Isk.Intézményi játszóeszköz és sporteszközök cseréje </t>
    </r>
    <r>
      <rPr>
        <b/>
        <sz val="10"/>
        <rFont val="Times New Roman"/>
        <family val="1"/>
        <charset val="238"/>
      </rPr>
      <t>SzM</t>
    </r>
  </si>
  <si>
    <r>
      <t xml:space="preserve">Czabán Ált.Isk. fényzáró függöny </t>
    </r>
    <r>
      <rPr>
        <b/>
        <sz val="10"/>
        <rFont val="Times New Roman"/>
        <family val="1"/>
        <charset val="238"/>
      </rPr>
      <t>SzM</t>
    </r>
  </si>
  <si>
    <r>
      <t xml:space="preserve">László Gy.Gimn. térelválasztó függöny </t>
    </r>
    <r>
      <rPr>
        <b/>
        <sz val="10"/>
        <rFont val="Times New Roman"/>
        <family val="1"/>
        <charset val="238"/>
      </rPr>
      <t>SzM</t>
    </r>
  </si>
  <si>
    <t xml:space="preserve">Czabán nyári napközis tábor-kisértékű T.Eszk. Besz. </t>
  </si>
  <si>
    <t>Terc-silver szoftverkulcs vásárlás</t>
  </si>
  <si>
    <t>Károly Róbert Iskola kisértékű tárgyi eszköz beszerzés</t>
  </si>
  <si>
    <t>Kossuth Iskola kisértkű tárgyi eszköz beszerzés</t>
  </si>
  <si>
    <t>Kossuth Iskola melegvíztározó cseréje</t>
  </si>
  <si>
    <t>Czabán Iskola kisértékű tárgyi eszköz beszerzés</t>
  </si>
  <si>
    <t>Pestújhelyi Iskola kisértékű tárgyi eszköz beszerzés</t>
  </si>
  <si>
    <t>Hartyán  Ált.Iskola kiséértékű tárgyi eszköz beserzése</t>
  </si>
  <si>
    <t>László Gyula Gimnázium kisértékű tárgyi eszköz beszerzése</t>
  </si>
  <si>
    <t>Száraznád Iskola kisértékű tárgyi eszköz beszerzése</t>
  </si>
  <si>
    <t>Dózsa György Gimnázium kisértékű tárgyi eszköz beszerzése</t>
  </si>
  <si>
    <t>Magyar-Kínai Iskola kisértékű tárgyi eszköz beszerzése</t>
  </si>
  <si>
    <t>Főzőkonyhák riasztórendszere</t>
  </si>
  <si>
    <t>Irodaszoftverek</t>
  </si>
  <si>
    <t>Polgármesteri Hivatal saját beruházásai</t>
  </si>
  <si>
    <t>63001.</t>
  </si>
  <si>
    <t>Egyéb gép, berendez, felszerelés vásárlása</t>
  </si>
  <si>
    <t>63002.</t>
  </si>
  <si>
    <t>Egyéb kisértékű tárgyi eszköz beszerzés</t>
  </si>
  <si>
    <t>63003.</t>
  </si>
  <si>
    <t>Kisértékű bútorbeszerzés</t>
  </si>
  <si>
    <t>63004.</t>
  </si>
  <si>
    <t>Szerszámok</t>
  </si>
  <si>
    <t>63005.</t>
  </si>
  <si>
    <t>Légkondícionáló berendezések C. ép. I. em. 103-109.</t>
  </si>
  <si>
    <t>63006.</t>
  </si>
  <si>
    <t>Légkondícionáló berendezések A. ép. fsz.1-25.</t>
  </si>
  <si>
    <t>63007.</t>
  </si>
  <si>
    <t>Légkondícionáló berendezések (fejlesztésekből kimaradt helyiségek,cserék)</t>
  </si>
  <si>
    <t>63008.</t>
  </si>
  <si>
    <t>Skoda Fabia gépkocsik cseréje JEP-017,JUZ-015</t>
  </si>
  <si>
    <t>63009.</t>
  </si>
  <si>
    <t>Kis értékű szellemi termékek vásárlása</t>
  </si>
  <si>
    <t>63010.</t>
  </si>
  <si>
    <t>Számítógépes hálózat</t>
  </si>
  <si>
    <t>63011.</t>
  </si>
  <si>
    <t>Számítástechnikai eszközök vásárlása</t>
  </si>
  <si>
    <t>63012.</t>
  </si>
  <si>
    <t>Kis értékű számítástechnikai eszközök vásárlása</t>
  </si>
  <si>
    <r>
      <t xml:space="preserve">Számítógépes hálózat </t>
    </r>
    <r>
      <rPr>
        <b/>
        <sz val="11"/>
        <rFont val="Times New Roman"/>
        <family val="1"/>
        <charset val="238"/>
      </rPr>
      <t>M</t>
    </r>
  </si>
  <si>
    <r>
      <t xml:space="preserve">Kisértékű szellemi termék beszerzése </t>
    </r>
    <r>
      <rPr>
        <b/>
        <sz val="10"/>
        <rFont val="Times New Roman"/>
        <family val="1"/>
        <charset val="238"/>
      </rPr>
      <t>M</t>
    </r>
  </si>
  <si>
    <t>63013.</t>
  </si>
  <si>
    <t>Nagy Sándor "Fal" című festmény</t>
  </si>
  <si>
    <t>63014.</t>
  </si>
  <si>
    <t>Papp Olívia "Zenész III." c. zománc festmény</t>
  </si>
  <si>
    <t>63015.</t>
  </si>
  <si>
    <t>Egyéb TE - Hivatali dolg. Egészségmegőrzés</t>
  </si>
  <si>
    <t>71.</t>
  </si>
  <si>
    <t>Egyéb kisértékű tárgyi eszköz beszerzés - népszavazás saját</t>
  </si>
  <si>
    <t>Laptop beszerzés - népszavazás saját</t>
  </si>
  <si>
    <t>II. Polgármesteri Hivatal mindösszesen</t>
  </si>
  <si>
    <t>Díszpolgárok portréja</t>
  </si>
  <si>
    <t>Rákos úti szakrendelő terveztetése</t>
  </si>
  <si>
    <t>Tervezői művezetés</t>
  </si>
  <si>
    <t>Térfigyelő kamerák bővítése (7 új egység)</t>
  </si>
  <si>
    <t>Ingatlan vásárlás</t>
  </si>
  <si>
    <t>Út- járdaépítések terveztetése</t>
  </si>
  <si>
    <t>Külső Fóti úti- és rekreációs kerékpárút terv</t>
  </si>
  <si>
    <t>Útépítés, útfelújítás terveztetése</t>
  </si>
  <si>
    <t>Parkoló építések teveztetése</t>
  </si>
  <si>
    <t>Szilas park parkoló terv</t>
  </si>
  <si>
    <t>Erdőkerülő u.-Páskom park véderdő telepítés terv</t>
  </si>
  <si>
    <t>Útépítés (Csillagos köz)</t>
  </si>
  <si>
    <t xml:space="preserve">Járda építés </t>
  </si>
  <si>
    <t>Tempo 30 övezet építés</t>
  </si>
  <si>
    <t>Parkoló építés ( Sárfű u., Zsókavár u. vége)</t>
  </si>
  <si>
    <t>Nyirpalota u.  parkoló építés</t>
  </si>
  <si>
    <t>Hiányzó közműszakszok kiépítése</t>
  </si>
  <si>
    <t>Régifóti u.-Csobogós u. csapadékvíz csatorna építés</t>
  </si>
  <si>
    <t>Kovácsi K. tér  vízügyi létesítési engedély</t>
  </si>
  <si>
    <t>Zöldfelület, parkosítás, faültetés</t>
  </si>
  <si>
    <t>Fasor rekonstrukció (Eötvös u.,Dugonics u.- Wysocki u.)</t>
  </si>
  <si>
    <t>Közvilágítási hálózat (Rákosmező u.Hadipark)</t>
  </si>
  <si>
    <t>Kutyafuttatók létesítése (1+2 db.)</t>
  </si>
  <si>
    <t>Kis terek fejlesztése (Páskomliget u. 2-8., Karatna tér, Nádastó park, Nyírpalota 105-111, 79/AD.,Mézeskalács tér 5., Rákos út 94-106.)</t>
  </si>
  <si>
    <t>Kontyfa u. rekreációs park I. ütem</t>
  </si>
  <si>
    <t>Közműfejlesztési hozzájárulás (ÉPK., Deák u.)</t>
  </si>
  <si>
    <t>Spirál Ház klíma berendezés kiegészítő beruh.</t>
  </si>
  <si>
    <r>
      <t xml:space="preserve">ÉPK nővérszálló tervei </t>
    </r>
    <r>
      <rPr>
        <b/>
        <sz val="10"/>
        <rFont val="Times New Roman"/>
        <family val="1"/>
        <charset val="238"/>
      </rPr>
      <t xml:space="preserve"> M</t>
    </r>
  </si>
  <si>
    <r>
      <t xml:space="preserve">Árendásköz 4-6 eng. és kivitelezési tervek  </t>
    </r>
    <r>
      <rPr>
        <b/>
        <sz val="10"/>
        <rFont val="Times New Roman"/>
        <family val="1"/>
        <charset val="238"/>
      </rPr>
      <t>M</t>
    </r>
  </si>
  <si>
    <r>
      <t xml:space="preserve">ÉPK 3 épület terveinek elkészítése  </t>
    </r>
    <r>
      <rPr>
        <b/>
        <sz val="10"/>
        <rFont val="Times New Roman"/>
        <family val="1"/>
        <charset val="238"/>
      </rPr>
      <t>M</t>
    </r>
  </si>
  <si>
    <r>
      <t xml:space="preserve">Deák u. háziorvosi rendelő engedélyezési tervek </t>
    </r>
    <r>
      <rPr>
        <b/>
        <sz val="10"/>
        <rFont val="Times New Roman"/>
        <family val="1"/>
        <charset val="238"/>
      </rPr>
      <t>M</t>
    </r>
  </si>
  <si>
    <r>
      <t xml:space="preserve">Új Kerületi Építési Szabályzat terveztetése </t>
    </r>
    <r>
      <rPr>
        <b/>
        <sz val="10"/>
        <rFont val="Times New Roman"/>
        <family val="1"/>
        <charset val="238"/>
      </rPr>
      <t>M</t>
    </r>
  </si>
  <si>
    <r>
      <t xml:space="preserve">Fő tér művelődési ház tervezése </t>
    </r>
    <r>
      <rPr>
        <b/>
        <sz val="10"/>
        <rFont val="Times New Roman"/>
        <family val="1"/>
        <charset val="238"/>
      </rPr>
      <t>M</t>
    </r>
  </si>
  <si>
    <r>
      <t xml:space="preserve">Hősök úti rendelő lift tervei és tervaktualizálás </t>
    </r>
    <r>
      <rPr>
        <b/>
        <sz val="10"/>
        <rFont val="Times New Roman"/>
        <family val="1"/>
        <charset val="238"/>
      </rPr>
      <t>M</t>
    </r>
  </si>
  <si>
    <r>
      <t xml:space="preserve">Sport- és Rendezvény Központ tervezése </t>
    </r>
    <r>
      <rPr>
        <b/>
        <sz val="10"/>
        <rFont val="Times New Roman"/>
        <family val="1"/>
        <charset val="238"/>
      </rPr>
      <t>M</t>
    </r>
  </si>
  <si>
    <r>
      <t xml:space="preserve">Újpalotai futókör tervezése </t>
    </r>
    <r>
      <rPr>
        <b/>
        <sz val="10"/>
        <rFont val="Times New Roman"/>
        <family val="1"/>
        <charset val="238"/>
      </rPr>
      <t>M</t>
    </r>
  </si>
  <si>
    <r>
      <t xml:space="preserve">Csatorna építés - Hősök útja </t>
    </r>
    <r>
      <rPr>
        <b/>
        <sz val="10"/>
        <rFont val="Times New Roman"/>
        <family val="1"/>
        <charset val="238"/>
      </rPr>
      <t>M</t>
    </r>
  </si>
  <si>
    <r>
      <t xml:space="preserve">Deák utca orvosi rendelő átépítés  (RUP-15) </t>
    </r>
    <r>
      <rPr>
        <b/>
        <sz val="10"/>
        <rFont val="Times New Roman"/>
        <family val="1"/>
        <charset val="238"/>
      </rPr>
      <t>M</t>
    </r>
  </si>
  <si>
    <r>
      <t xml:space="preserve">Hiányzó közműszakaszok építése </t>
    </r>
    <r>
      <rPr>
        <b/>
        <sz val="10"/>
        <rFont val="Times New Roman"/>
        <family val="1"/>
        <charset val="238"/>
      </rPr>
      <t>M</t>
    </r>
  </si>
  <si>
    <r>
      <t xml:space="preserve">Kontyfa u. 10. parkoló építés </t>
    </r>
    <r>
      <rPr>
        <b/>
        <sz val="10"/>
        <rFont val="Times New Roman"/>
        <family val="1"/>
        <charset val="238"/>
      </rPr>
      <t>M</t>
    </r>
  </si>
  <si>
    <r>
      <t xml:space="preserve">InSpirál Ház bútorozás, belsőépítészet, kiegészítő munkák - Zsókavár III. ütem (RUP-15) </t>
    </r>
    <r>
      <rPr>
        <b/>
        <sz val="10"/>
        <rFont val="Times New Roman"/>
        <family val="1"/>
        <charset val="238"/>
      </rPr>
      <t>M</t>
    </r>
  </si>
  <si>
    <r>
      <t xml:space="preserve">Haditechnikai Park kerítés, villágítás </t>
    </r>
    <r>
      <rPr>
        <b/>
        <sz val="10"/>
        <rFont val="Times New Roman"/>
        <family val="1"/>
        <charset val="238"/>
      </rPr>
      <t>M</t>
    </r>
  </si>
  <si>
    <r>
      <t xml:space="preserve">ÉPK 13. jelű épület házi orvosi és szakrendelővé alakítása </t>
    </r>
    <r>
      <rPr>
        <b/>
        <sz val="10"/>
        <rFont val="Times New Roman"/>
        <family val="1"/>
        <charset val="238"/>
      </rPr>
      <t>M</t>
    </r>
  </si>
  <si>
    <t>56-os emlékmű (szobor)</t>
  </si>
  <si>
    <t>Rákospalotai múzeum tervpályázat</t>
  </si>
  <si>
    <t xml:space="preserve">InSpirál Ház bútorozás, belsőépítészet, kiegészítő munkák - Zsókavár III. ütem (RUP-15) </t>
  </si>
  <si>
    <t>KEHOP-5.2.9 pályázat Fő út 70. épülettel kapcsolatos tervezés</t>
  </si>
  <si>
    <t>VEKOP-6.2.1-15 pály. Projekt előkészítő tanulmány</t>
  </si>
  <si>
    <t>Deák u. háziorvosi rendelő tervezői művezetés</t>
  </si>
  <si>
    <t>Útépítés (Szántóföld u.)</t>
  </si>
  <si>
    <t>Közvilágítási hálózat (Városkapu u. 8 lámpatest)</t>
  </si>
  <si>
    <t>Közvilágítási hálózat (Fő u. - Kossuth u. zebra)</t>
  </si>
  <si>
    <t>Parkoló felújítás teveztetése (Zsókavár, Nyírpalota zöldsáv, Kossuth 9-31.)</t>
  </si>
  <si>
    <t>Egyedi közvil lámpatestek (Sárfű fitnespark, Arany J.-Bánkút, Karácsony B. park)</t>
  </si>
  <si>
    <t>ÉPK parkoló építés 13. ép. mellett</t>
  </si>
  <si>
    <t>Szerencs Bánkút jelzőlámpás forgalomirányítás</t>
  </si>
  <si>
    <t>Kolzsvár - Széchenyi lámpás forgalom irányítás</t>
  </si>
  <si>
    <t>Living Road - balesetmentes felület (Kolozsvár u- Csillagfűrt u-nál, Széchenyi u - Vasuttelep u-nál, Károlyi S.u - Árokhát kereszteződésnél, Kossuth-Neptun-Pestujhelyi Iskoláknál)</t>
  </si>
  <si>
    <t>Nem lakás c. helyiség eszközbeszerzések (Dugonics u. 22. képv. Iroda berendezése; Kontyfa rendőrörs klíma)</t>
  </si>
  <si>
    <t>Rákos u. fejlesztés koncepció terv</t>
  </si>
  <si>
    <t>Deák utca orvosi rendelő átépítés  (RUP-15)</t>
  </si>
  <si>
    <t>"TÉR-KÖZ 2016.városrehabilitációs pályázat" pályázati dokumentáció összeállítás, tervezés</t>
  </si>
  <si>
    <t>Bácska utcai parkoló sorompó építés</t>
  </si>
  <si>
    <t>Hősök úti szakrendelő lift építéshez telekalakítás</t>
  </si>
  <si>
    <t>KEHOP-5.2.9 pályázat Rákospalotai Kertvárosi Összevont Óvoda Vácrátóth téri Tagóvodája épülettel kapcs. tervezés</t>
  </si>
  <si>
    <t>Spirál Ház - Pajtás étterem klímatizálás</t>
  </si>
  <si>
    <t>Közvilágítási hálózat fejlesztése (napelemes lámpatestek)
(Zsókavár-Erdőkerülő u., Karácsony Benő park, Bánkút utca, Rákos úti lakótelep)</t>
  </si>
  <si>
    <t>ÉPK 13. jelű épület kiviteli terveinek aktualizálása</t>
  </si>
  <si>
    <t>Széchenyi téri szobor csoport megvilágítása</t>
  </si>
  <si>
    <t>Saját v. bérelt ingatlan haszn. (Palota Holding Zrt.)</t>
  </si>
  <si>
    <r>
      <t xml:space="preserve">Bútorok vásárlása a Nyugdíjasházba </t>
    </r>
    <r>
      <rPr>
        <b/>
        <sz val="10"/>
        <rFont val="Times New Roman"/>
        <family val="1"/>
        <charset val="238"/>
      </rPr>
      <t>M</t>
    </r>
  </si>
  <si>
    <r>
      <t xml:space="preserve">IV. Önkormányzat összesen </t>
    </r>
    <r>
      <rPr>
        <sz val="12"/>
        <rFont val="Times New Roman"/>
        <family val="1"/>
        <charset val="238"/>
      </rPr>
      <t>(I+III.)</t>
    </r>
  </si>
  <si>
    <t>Felhalmozási címzett tartalék</t>
  </si>
  <si>
    <t>Egyházak felhalm.célú támogatása</t>
  </si>
  <si>
    <t>Opál u-i felnőt háziorvosi rendelő felúj.50% pály.önrész</t>
  </si>
  <si>
    <t>Fejlesztési céltartalékok összesen</t>
  </si>
  <si>
    <t>átv.            pe.</t>
  </si>
  <si>
    <t xml:space="preserve">Zsókavár III.ütem KMOP-5.1.1/B-12k-2012-0002 </t>
  </si>
  <si>
    <r>
      <t>Zsókavár III.ütem KMOP-5.1.1/B-12k-2012-0003</t>
    </r>
    <r>
      <rPr>
        <b/>
        <sz val="10"/>
        <rFont val="Times New Roman"/>
        <family val="1"/>
        <charset val="238"/>
      </rPr>
      <t xml:space="preserve"> M</t>
    </r>
  </si>
  <si>
    <t>Társasházak felújítási pályázata</t>
  </si>
  <si>
    <t>NKA 3974/260 sz. pályázat (Albert Camus mellszobor)</t>
  </si>
  <si>
    <t>Kiemelt pályázatok összesen</t>
  </si>
  <si>
    <t>199</t>
  </si>
  <si>
    <t>IV. Központi támogatás Nettó finasz.előleg</t>
  </si>
  <si>
    <t>V. Központi, irányító szervi támogatás folyósítása</t>
  </si>
  <si>
    <t>VI. Külföldi finanszírozás bevételei</t>
  </si>
  <si>
    <t>24. Központi támogatás Nettó finasz.előleg</t>
  </si>
  <si>
    <t>Bp.Főváros XV.ker. Önkormányzata 2016. évi költségvetés V. számú módosítás működési és felhalmozási céltartalékainak előirányzatai</t>
  </si>
  <si>
    <t xml:space="preserve">                   Iparűzési adó, </t>
  </si>
  <si>
    <t xml:space="preserve">                  Adópótlék, adóbírság ,idegenforgalmi adó bevételei</t>
  </si>
  <si>
    <t xml:space="preserve">Budapest Főváros  XV. ker. Önkormányzat 2016. évi bevételeinek és kiadásainak mérlegszerű bemutatása (ezer Ft) </t>
  </si>
  <si>
    <t>Bp. Főváros XV. ker. Önkormányzata 2016. évi költségvetés támogatásértékű kiadások, pénzeszközátadás és kölcsönök 2016. évi teljesítése</t>
  </si>
  <si>
    <t xml:space="preserve">       Bp. Főváros  XV. ker. Önkormányzat  2016.évi ktv. felújítási előirányzatainak teljesítése feladatonként és forrásonként bruttó összegben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</si>
  <si>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Bp. Főváros  XV. ker. Önkormányzat 2016.évi ktv. fejlesztési előirányzatainak teljesítése feladatonként és forrásonként</t>
  </si>
  <si>
    <t xml:space="preserve">Bp. Főváros  XV. ker. Önkormányzat 2016.évi ktv. kiemelt pályázatok előirányzatainak teljesítése feladatonként és forrásonként bruttó összegben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</si>
  <si>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Bp. Főváros  XV. ker. Önkormányzat 2016. évi költségvetés kiadási előirányzatainak teljesítése</t>
  </si>
  <si>
    <t>Bp. Főváros XV. ker. Önkormányzata 2016. évi költségvetés központi támogatási előirányzatainak teljesítése a támogatást felhasználó költségvetési szervek szerint</t>
  </si>
  <si>
    <t>Bp. Főváros XV. ker. Önkormányzata 2016. évi költségvetés átvett pénzeszközök  és támogatások, kölcsönök visszatérülésének teljesítése</t>
  </si>
  <si>
    <t>Bp. Főváros  XV. ker. Önkormányzat 2016. évi költségvetés  bevételi előirányzatainak  teljesítése</t>
  </si>
</sst>
</file>

<file path=xl/styles.xml><?xml version="1.0" encoding="utf-8"?>
<styleSheet xmlns="http://schemas.openxmlformats.org/spreadsheetml/2006/main">
  <numFmts count="4">
    <numFmt numFmtId="164" formatCode="_-* #,##0\ _F_t_-;\-* #,##0\ _F_t_-;_-* &quot;- &quot;_F_t_-;_-@_-"/>
    <numFmt numFmtId="165" formatCode="#,##0_ ;\-#,##0\ "/>
    <numFmt numFmtId="166" formatCode="0.0"/>
    <numFmt numFmtId="167" formatCode="_-* #,##0.00\ _F_t_-;\-* #,##0.00\ _F_t_-;_-* \-??\ _F_t_-;_-@_-"/>
  </numFmts>
  <fonts count="58"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 CE"/>
      <family val="2"/>
      <charset val="238"/>
    </font>
    <font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3.5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8.5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8.5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3.5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indexed="8"/>
      <name val="Tahoma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i/>
      <u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i/>
      <u/>
      <sz val="11"/>
      <color indexed="8"/>
      <name val="Times New Roman"/>
      <family val="1"/>
      <charset val="238"/>
    </font>
    <font>
      <b/>
      <i/>
      <u/>
      <sz val="11"/>
      <color indexed="8"/>
      <name val="Times New Roman"/>
      <family val="1"/>
      <charset val="238"/>
    </font>
    <font>
      <b/>
      <sz val="13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3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indexed="10"/>
      <name val="Arial CE"/>
      <family val="2"/>
      <charset val="238"/>
    </font>
    <font>
      <sz val="9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color indexed="9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name val="Arial CE"/>
      <family val="2"/>
      <charset val="238"/>
    </font>
    <font>
      <sz val="11"/>
      <color theme="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11"/>
        <bgColor indexed="57"/>
      </patternFill>
    </fill>
    <fill>
      <patternFill patternType="solid">
        <fgColor indexed="41"/>
        <bgColor indexed="9"/>
      </patternFill>
    </fill>
  </fills>
  <borders count="7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7" fontId="54" fillId="0" borderId="0" applyFill="0" applyBorder="0" applyAlignment="0" applyProtection="0"/>
    <xf numFmtId="0" fontId="1" fillId="0" borderId="0"/>
    <xf numFmtId="0" fontId="2" fillId="0" borderId="0"/>
    <xf numFmtId="0" fontId="3" fillId="0" borderId="0"/>
    <xf numFmtId="0" fontId="54" fillId="0" borderId="0"/>
    <xf numFmtId="0" fontId="54" fillId="0" borderId="0"/>
    <xf numFmtId="0" fontId="54" fillId="0" borderId="0"/>
  </cellStyleXfs>
  <cellXfs count="1787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4" fillId="0" borderId="0" xfId="0" applyFont="1" applyFill="1"/>
    <xf numFmtId="0" fontId="6" fillId="0" borderId="0" xfId="0" applyFont="1" applyFill="1"/>
    <xf numFmtId="0" fontId="6" fillId="0" borderId="0" xfId="0" applyFont="1"/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/>
    <xf numFmtId="3" fontId="11" fillId="0" borderId="4" xfId="0" applyNumberFormat="1" applyFont="1" applyBorder="1"/>
    <xf numFmtId="0" fontId="10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3" fontId="11" fillId="0" borderId="5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6" xfId="0" applyFont="1" applyFill="1" applyBorder="1"/>
    <xf numFmtId="3" fontId="11" fillId="0" borderId="6" xfId="0" applyNumberFormat="1" applyFont="1" applyFill="1" applyBorder="1" applyProtection="1"/>
    <xf numFmtId="3" fontId="11" fillId="2" borderId="6" xfId="0" applyNumberFormat="1" applyFont="1" applyFill="1" applyBorder="1" applyProtection="1"/>
    <xf numFmtId="3" fontId="11" fillId="0" borderId="7" xfId="0" applyNumberFormat="1" applyFont="1" applyFill="1" applyBorder="1" applyProtection="1"/>
    <xf numFmtId="0" fontId="11" fillId="0" borderId="7" xfId="0" applyFont="1" applyFill="1" applyBorder="1"/>
    <xf numFmtId="3" fontId="11" fillId="2" borderId="7" xfId="0" applyNumberFormat="1" applyFont="1" applyFill="1" applyBorder="1" applyProtection="1"/>
    <xf numFmtId="3" fontId="11" fillId="0" borderId="7" xfId="0" applyNumberFormat="1" applyFont="1" applyBorder="1"/>
    <xf numFmtId="0" fontId="10" fillId="0" borderId="3" xfId="0" applyFont="1" applyFill="1" applyBorder="1" applyAlignment="1">
      <alignment vertical="center"/>
    </xf>
    <xf numFmtId="3" fontId="10" fillId="0" borderId="3" xfId="0" applyNumberFormat="1" applyFont="1" applyFill="1" applyBorder="1" applyAlignment="1">
      <alignment vertical="center"/>
    </xf>
    <xf numFmtId="0" fontId="11" fillId="0" borderId="3" xfId="0" applyFont="1" applyFill="1" applyBorder="1"/>
    <xf numFmtId="0" fontId="12" fillId="0" borderId="3" xfId="0" applyFont="1" applyFill="1" applyBorder="1" applyAlignment="1">
      <alignment horizontal="left" vertical="center" indent="2"/>
    </xf>
    <xf numFmtId="3" fontId="12" fillId="0" borderId="3" xfId="0" applyNumberFormat="1" applyFont="1" applyFill="1" applyBorder="1"/>
    <xf numFmtId="0" fontId="11" fillId="0" borderId="5" xfId="0" applyFont="1" applyFill="1" applyBorder="1"/>
    <xf numFmtId="3" fontId="11" fillId="0" borderId="5" xfId="0" applyNumberFormat="1" applyFont="1" applyFill="1" applyBorder="1"/>
    <xf numFmtId="3" fontId="11" fillId="0" borderId="6" xfId="0" applyNumberFormat="1" applyFont="1" applyFill="1" applyBorder="1"/>
    <xf numFmtId="3" fontId="11" fillId="2" borderId="6" xfId="0" applyNumberFormat="1" applyFont="1" applyFill="1" applyBorder="1"/>
    <xf numFmtId="3" fontId="11" fillId="0" borderId="7" xfId="0" applyNumberFormat="1" applyFont="1" applyFill="1" applyBorder="1"/>
    <xf numFmtId="3" fontId="11" fillId="2" borderId="7" xfId="0" applyNumberFormat="1" applyFont="1" applyFill="1" applyBorder="1"/>
    <xf numFmtId="0" fontId="10" fillId="0" borderId="3" xfId="0" applyFont="1" applyFill="1" applyBorder="1"/>
    <xf numFmtId="3" fontId="10" fillId="0" borderId="3" xfId="0" applyNumberFormat="1" applyFont="1" applyFill="1" applyBorder="1"/>
    <xf numFmtId="0" fontId="10" fillId="0" borderId="8" xfId="0" applyFont="1" applyFill="1" applyBorder="1" applyAlignment="1">
      <alignment vertical="center"/>
    </xf>
    <xf numFmtId="3" fontId="11" fillId="0" borderId="8" xfId="0" applyNumberFormat="1" applyFont="1" applyFill="1" applyBorder="1" applyAlignment="1">
      <alignment vertical="center"/>
    </xf>
    <xf numFmtId="3" fontId="11" fillId="0" borderId="9" xfId="0" applyNumberFormat="1" applyFont="1" applyFill="1" applyBorder="1"/>
    <xf numFmtId="0" fontId="10" fillId="0" borderId="10" xfId="0" applyFont="1" applyFill="1" applyBorder="1" applyAlignment="1">
      <alignment horizontal="center"/>
    </xf>
    <xf numFmtId="3" fontId="11" fillId="0" borderId="10" xfId="0" applyNumberFormat="1" applyFont="1" applyFill="1" applyBorder="1"/>
    <xf numFmtId="3" fontId="11" fillId="0" borderId="3" xfId="0" applyNumberFormat="1" applyFont="1" applyFill="1" applyBorder="1"/>
    <xf numFmtId="3" fontId="11" fillId="0" borderId="3" xfId="0" applyNumberFormat="1" applyFont="1" applyFill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3" fontId="10" fillId="0" borderId="3" xfId="0" applyNumberFormat="1" applyFont="1" applyBorder="1"/>
    <xf numFmtId="0" fontId="1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4" fillId="0" borderId="0" xfId="0" applyFont="1"/>
    <xf numFmtId="0" fontId="15" fillId="0" borderId="11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4" fillId="0" borderId="15" xfId="0" applyNumberFormat="1" applyFont="1" applyFill="1" applyBorder="1" applyAlignment="1">
      <alignment vertical="center"/>
    </xf>
    <xf numFmtId="0" fontId="14" fillId="0" borderId="16" xfId="0" applyFont="1" applyBorder="1" applyAlignment="1">
      <alignment horizontal="left" indent="3"/>
    </xf>
    <xf numFmtId="3" fontId="4" fillId="0" borderId="17" xfId="0" applyNumberFormat="1" applyFont="1" applyFill="1" applyBorder="1" applyAlignment="1">
      <alignment vertical="center"/>
    </xf>
    <xf numFmtId="3" fontId="4" fillId="2" borderId="17" xfId="0" applyNumberFormat="1" applyFont="1" applyFill="1" applyBorder="1" applyAlignment="1">
      <alignment vertical="center"/>
    </xf>
    <xf numFmtId="3" fontId="4" fillId="0" borderId="18" xfId="0" applyNumberFormat="1" applyFont="1" applyFill="1" applyBorder="1" applyAlignment="1">
      <alignment vertical="center"/>
    </xf>
    <xf numFmtId="3" fontId="4" fillId="0" borderId="18" xfId="0" applyNumberFormat="1" applyFont="1" applyBorder="1"/>
    <xf numFmtId="0" fontId="4" fillId="0" borderId="19" xfId="0" applyFont="1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3" fontId="4" fillId="2" borderId="20" xfId="0" applyNumberFormat="1" applyFont="1" applyFill="1" applyBorder="1"/>
    <xf numFmtId="3" fontId="4" fillId="0" borderId="21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22" xfId="0" applyFont="1" applyBorder="1"/>
    <xf numFmtId="3" fontId="4" fillId="0" borderId="22" xfId="0" applyNumberFormat="1" applyFont="1" applyBorder="1"/>
    <xf numFmtId="3" fontId="4" fillId="0" borderId="20" xfId="0" applyNumberFormat="1" applyFont="1" applyFill="1" applyBorder="1"/>
    <xf numFmtId="3" fontId="4" fillId="0" borderId="23" xfId="0" applyNumberFormat="1" applyFont="1" applyFill="1" applyBorder="1" applyProtection="1"/>
    <xf numFmtId="3" fontId="4" fillId="0" borderId="23" xfId="0" applyNumberFormat="1" applyFont="1" applyBorder="1"/>
    <xf numFmtId="0" fontId="4" fillId="0" borderId="24" xfId="0" applyFont="1" applyFill="1" applyBorder="1"/>
    <xf numFmtId="0" fontId="4" fillId="0" borderId="25" xfId="0" applyFont="1" applyFill="1" applyBorder="1"/>
    <xf numFmtId="3" fontId="4" fillId="0" borderId="26" xfId="0" applyNumberFormat="1" applyFont="1" applyFill="1" applyBorder="1"/>
    <xf numFmtId="3" fontId="4" fillId="0" borderId="27" xfId="0" applyNumberFormat="1" applyFont="1" applyFill="1" applyBorder="1"/>
    <xf numFmtId="3" fontId="4" fillId="0" borderId="26" xfId="0" applyNumberFormat="1" applyFont="1" applyFill="1" applyBorder="1" applyAlignment="1">
      <alignment vertical="center"/>
    </xf>
    <xf numFmtId="0" fontId="14" fillId="0" borderId="22" xfId="0" applyFont="1" applyBorder="1" applyAlignment="1">
      <alignment horizontal="left" indent="3"/>
    </xf>
    <xf numFmtId="0" fontId="4" fillId="0" borderId="22" xfId="0" applyFont="1" applyFill="1" applyBorder="1"/>
    <xf numFmtId="3" fontId="4" fillId="0" borderId="20" xfId="0" applyNumberFormat="1" applyFont="1" applyFill="1" applyBorder="1" applyAlignment="1">
      <alignment vertical="center"/>
    </xf>
    <xf numFmtId="0" fontId="4" fillId="0" borderId="28" xfId="0" applyFont="1" applyFill="1" applyBorder="1"/>
    <xf numFmtId="0" fontId="4" fillId="0" borderId="1" xfId="0" applyFont="1" applyFill="1" applyBorder="1"/>
    <xf numFmtId="3" fontId="4" fillId="0" borderId="29" xfId="0" applyNumberFormat="1" applyFont="1" applyFill="1" applyBorder="1" applyAlignment="1">
      <alignment vertical="center"/>
    </xf>
    <xf numFmtId="3" fontId="4" fillId="0" borderId="30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29" xfId="0" applyNumberFormat="1" applyFont="1" applyFill="1" applyBorder="1"/>
    <xf numFmtId="3" fontId="4" fillId="2" borderId="29" xfId="0" applyNumberFormat="1" applyFont="1" applyFill="1" applyBorder="1"/>
    <xf numFmtId="3" fontId="4" fillId="0" borderId="31" xfId="0" applyNumberFormat="1" applyFont="1" applyFill="1" applyBorder="1" applyProtection="1"/>
    <xf numFmtId="3" fontId="4" fillId="0" borderId="31" xfId="0" applyNumberFormat="1" applyFont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Border="1"/>
    <xf numFmtId="3" fontId="4" fillId="0" borderId="0" xfId="0" applyNumberFormat="1" applyFont="1" applyBorder="1"/>
    <xf numFmtId="0" fontId="16" fillId="0" borderId="0" xfId="0" applyFont="1" applyFill="1"/>
    <xf numFmtId="3" fontId="16" fillId="0" borderId="0" xfId="0" applyNumberFormat="1" applyFont="1" applyFill="1"/>
    <xf numFmtId="3" fontId="4" fillId="0" borderId="0" xfId="0" applyNumberFormat="1" applyFont="1" applyFill="1"/>
    <xf numFmtId="3" fontId="16" fillId="0" borderId="0" xfId="0" applyNumberFormat="1" applyFont="1"/>
    <xf numFmtId="0" fontId="16" fillId="0" borderId="0" xfId="0" applyFont="1"/>
    <xf numFmtId="3" fontId="17" fillId="0" borderId="0" xfId="0" applyNumberFormat="1" applyFont="1" applyFill="1" applyBorder="1" applyAlignment="1">
      <alignment horizontal="right"/>
    </xf>
    <xf numFmtId="3" fontId="17" fillId="0" borderId="0" xfId="0" applyNumberFormat="1" applyFont="1" applyBorder="1" applyAlignment="1">
      <alignment horizontal="right"/>
    </xf>
    <xf numFmtId="0" fontId="19" fillId="0" borderId="0" xfId="0" applyFont="1" applyFill="1" applyBorder="1" applyAlignment="1">
      <alignment horizontal="center" vertical="center" wrapText="1"/>
    </xf>
    <xf numFmtId="3" fontId="18" fillId="0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0" xfId="0" applyFont="1"/>
    <xf numFmtId="0" fontId="20" fillId="0" borderId="7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3" fontId="21" fillId="0" borderId="23" xfId="0" applyNumberFormat="1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center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3" fontId="21" fillId="0" borderId="23" xfId="0" applyNumberFormat="1" applyFont="1" applyBorder="1"/>
    <xf numFmtId="0" fontId="21" fillId="0" borderId="8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0" fontId="20" fillId="0" borderId="22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3" fontId="21" fillId="0" borderId="32" xfId="0" applyNumberFormat="1" applyFont="1" applyFill="1" applyBorder="1" applyAlignment="1">
      <alignment horizontal="center"/>
    </xf>
    <xf numFmtId="3" fontId="11" fillId="0" borderId="32" xfId="0" applyNumberFormat="1" applyFont="1" applyFill="1" applyBorder="1" applyAlignment="1">
      <alignment horizontal="center"/>
    </xf>
    <xf numFmtId="0" fontId="11" fillId="0" borderId="32" xfId="0" applyFont="1" applyFill="1" applyBorder="1"/>
    <xf numFmtId="3" fontId="21" fillId="0" borderId="32" xfId="0" applyNumberFormat="1" applyFont="1" applyBorder="1"/>
    <xf numFmtId="0" fontId="20" fillId="0" borderId="3" xfId="0" applyFont="1" applyFill="1" applyBorder="1"/>
    <xf numFmtId="3" fontId="21" fillId="0" borderId="3" xfId="0" applyNumberFormat="1" applyFont="1" applyFill="1" applyBorder="1"/>
    <xf numFmtId="10" fontId="21" fillId="0" borderId="3" xfId="0" applyNumberFormat="1" applyFont="1" applyFill="1" applyBorder="1"/>
    <xf numFmtId="0" fontId="21" fillId="0" borderId="7" xfId="0" applyFont="1" applyFill="1" applyBorder="1"/>
    <xf numFmtId="0" fontId="21" fillId="0" borderId="33" xfId="0" applyFont="1" applyFill="1" applyBorder="1"/>
    <xf numFmtId="3" fontId="21" fillId="0" borderId="7" xfId="0" applyNumberFormat="1" applyFont="1" applyFill="1" applyBorder="1" applyAlignment="1">
      <alignment horizontal="right"/>
    </xf>
    <xf numFmtId="3" fontId="11" fillId="2" borderId="7" xfId="0" applyNumberFormat="1" applyFont="1" applyFill="1" applyBorder="1" applyAlignment="1">
      <alignment horizontal="right"/>
    </xf>
    <xf numFmtId="3" fontId="11" fillId="0" borderId="33" xfId="0" applyNumberFormat="1" applyFont="1" applyFill="1" applyBorder="1" applyAlignment="1">
      <alignment horizontal="right"/>
    </xf>
    <xf numFmtId="3" fontId="11" fillId="0" borderId="7" xfId="0" applyNumberFormat="1" applyFont="1" applyFill="1" applyBorder="1" applyAlignment="1">
      <alignment horizontal="right"/>
    </xf>
    <xf numFmtId="10" fontId="11" fillId="0" borderId="7" xfId="0" applyNumberFormat="1" applyFont="1" applyFill="1" applyBorder="1" applyAlignment="1">
      <alignment horizontal="right"/>
    </xf>
    <xf numFmtId="3" fontId="11" fillId="2" borderId="33" xfId="0" applyNumberFormat="1" applyFont="1" applyFill="1" applyBorder="1" applyProtection="1">
      <protection locked="0"/>
    </xf>
    <xf numFmtId="3" fontId="11" fillId="0" borderId="33" xfId="0" applyNumberFormat="1" applyFont="1" applyFill="1" applyBorder="1"/>
    <xf numFmtId="10" fontId="11" fillId="0" borderId="7" xfId="0" applyNumberFormat="1" applyFont="1" applyFill="1" applyBorder="1"/>
    <xf numFmtId="3" fontId="11" fillId="2" borderId="7" xfId="0" applyNumberFormat="1" applyFont="1" applyFill="1" applyBorder="1" applyProtection="1">
      <protection locked="0"/>
    </xf>
    <xf numFmtId="3" fontId="11" fillId="0" borderId="8" xfId="0" applyNumberFormat="1" applyFont="1" applyFill="1" applyBorder="1" applyAlignment="1">
      <alignment horizontal="right"/>
    </xf>
    <xf numFmtId="3" fontId="11" fillId="2" borderId="8" xfId="0" applyNumberFormat="1" applyFont="1" applyFill="1" applyBorder="1" applyProtection="1">
      <protection locked="0"/>
    </xf>
    <xf numFmtId="3" fontId="11" fillId="0" borderId="8" xfId="0" applyNumberFormat="1" applyFont="1" applyFill="1" applyBorder="1"/>
    <xf numFmtId="0" fontId="20" fillId="0" borderId="3" xfId="0" applyFont="1" applyFill="1" applyBorder="1" applyAlignment="1">
      <alignment horizontal="left"/>
    </xf>
    <xf numFmtId="10" fontId="11" fillId="0" borderId="3" xfId="0" applyNumberFormat="1" applyFont="1" applyFill="1" applyBorder="1"/>
    <xf numFmtId="3" fontId="11" fillId="0" borderId="3" xfId="0" applyNumberFormat="1" applyFont="1" applyFill="1" applyBorder="1" applyAlignment="1">
      <alignment horizontal="right"/>
    </xf>
    <xf numFmtId="3" fontId="11" fillId="0" borderId="7" xfId="0" applyNumberFormat="1" applyFont="1" applyFill="1" applyBorder="1" applyAlignment="1" applyProtection="1">
      <alignment horizontal="right"/>
    </xf>
    <xf numFmtId="3" fontId="11" fillId="2" borderId="7" xfId="0" applyNumberFormat="1" applyFont="1" applyFill="1" applyBorder="1" applyAlignment="1" applyProtection="1">
      <alignment horizontal="right"/>
    </xf>
    <xf numFmtId="3" fontId="11" fillId="0" borderId="33" xfId="0" applyNumberFormat="1" applyFont="1" applyFill="1" applyBorder="1" applyAlignment="1" applyProtection="1">
      <alignment horizontal="right"/>
    </xf>
    <xf numFmtId="10" fontId="11" fillId="0" borderId="7" xfId="0" applyNumberFormat="1" applyFont="1" applyFill="1" applyBorder="1" applyAlignment="1" applyProtection="1">
      <alignment horizontal="right"/>
    </xf>
    <xf numFmtId="0" fontId="13" fillId="0" borderId="7" xfId="0" applyFont="1" applyFill="1" applyBorder="1"/>
    <xf numFmtId="3" fontId="13" fillId="0" borderId="7" xfId="0" applyNumberFormat="1" applyFont="1" applyFill="1" applyBorder="1" applyAlignment="1">
      <alignment horizontal="right"/>
    </xf>
    <xf numFmtId="3" fontId="12" fillId="3" borderId="7" xfId="0" applyNumberFormat="1" applyFont="1" applyFill="1" applyBorder="1" applyAlignment="1">
      <alignment horizontal="right"/>
    </xf>
    <xf numFmtId="3" fontId="12" fillId="0" borderId="7" xfId="0" applyNumberFormat="1" applyFont="1" applyFill="1" applyBorder="1" applyAlignment="1">
      <alignment horizontal="right"/>
    </xf>
    <xf numFmtId="10" fontId="12" fillId="0" borderId="7" xfId="0" applyNumberFormat="1" applyFont="1" applyFill="1" applyBorder="1" applyAlignment="1">
      <alignment horizontal="right"/>
    </xf>
    <xf numFmtId="3" fontId="12" fillId="0" borderId="7" xfId="0" applyNumberFormat="1" applyFont="1" applyFill="1" applyBorder="1" applyProtection="1"/>
    <xf numFmtId="3" fontId="12" fillId="4" borderId="7" xfId="0" applyNumberFormat="1" applyFont="1" applyFill="1" applyBorder="1" applyProtection="1"/>
    <xf numFmtId="3" fontId="11" fillId="3" borderId="7" xfId="0" applyNumberFormat="1" applyFont="1" applyFill="1" applyBorder="1" applyProtection="1">
      <protection locked="0"/>
    </xf>
    <xf numFmtId="10" fontId="12" fillId="0" borderId="7" xfId="0" applyNumberFormat="1" applyFont="1" applyFill="1" applyBorder="1" applyProtection="1"/>
    <xf numFmtId="3" fontId="11" fillId="3" borderId="7" xfId="0" applyNumberFormat="1" applyFont="1" applyFill="1" applyBorder="1" applyAlignment="1">
      <alignment horizontal="right"/>
    </xf>
    <xf numFmtId="3" fontId="11" fillId="4" borderId="7" xfId="0" applyNumberFormat="1" applyFont="1" applyFill="1" applyBorder="1" applyProtection="1"/>
    <xf numFmtId="10" fontId="11" fillId="0" borderId="7" xfId="0" applyNumberFormat="1" applyFont="1" applyFill="1" applyBorder="1" applyProtection="1"/>
    <xf numFmtId="0" fontId="21" fillId="0" borderId="8" xfId="0" applyFont="1" applyFill="1" applyBorder="1"/>
    <xf numFmtId="3" fontId="11" fillId="0" borderId="8" xfId="0" applyNumberFormat="1" applyFont="1" applyFill="1" applyBorder="1" applyProtection="1"/>
    <xf numFmtId="3" fontId="11" fillId="4" borderId="8" xfId="0" applyNumberFormat="1" applyFont="1" applyFill="1" applyBorder="1" applyProtection="1"/>
    <xf numFmtId="0" fontId="21" fillId="0" borderId="0" xfId="0" applyFont="1" applyFill="1" applyBorder="1"/>
    <xf numFmtId="3" fontId="21" fillId="0" borderId="3" xfId="0" applyNumberFormat="1" applyFont="1" applyFill="1" applyBorder="1" applyAlignment="1">
      <alignment horizontal="right"/>
    </xf>
    <xf numFmtId="10" fontId="11" fillId="0" borderId="33" xfId="0" applyNumberFormat="1" applyFont="1" applyFill="1" applyBorder="1" applyAlignment="1">
      <alignment horizontal="right"/>
    </xf>
    <xf numFmtId="3" fontId="21" fillId="0" borderId="33" xfId="0" applyNumberFormat="1" applyFont="1" applyFill="1" applyBorder="1" applyAlignment="1">
      <alignment horizontal="right"/>
    </xf>
    <xf numFmtId="3" fontId="11" fillId="2" borderId="33" xfId="0" applyNumberFormat="1" applyFont="1" applyFill="1" applyBorder="1" applyAlignment="1">
      <alignment horizontal="right"/>
    </xf>
    <xf numFmtId="3" fontId="11" fillId="2" borderId="9" xfId="0" applyNumberFormat="1" applyFont="1" applyFill="1" applyBorder="1" applyAlignment="1">
      <alignment horizontal="right"/>
    </xf>
    <xf numFmtId="3" fontId="11" fillId="0" borderId="9" xfId="0" applyNumberFormat="1" applyFont="1" applyFill="1" applyBorder="1" applyAlignment="1">
      <alignment horizontal="right"/>
    </xf>
    <xf numFmtId="10" fontId="11" fillId="0" borderId="9" xfId="0" applyNumberFormat="1" applyFont="1" applyFill="1" applyBorder="1" applyAlignment="1">
      <alignment horizontal="right"/>
    </xf>
    <xf numFmtId="3" fontId="21" fillId="0" borderId="10" xfId="0" applyNumberFormat="1" applyFont="1" applyFill="1" applyBorder="1" applyAlignment="1">
      <alignment horizontal="right"/>
    </xf>
    <xf numFmtId="3" fontId="11" fillId="2" borderId="10" xfId="0" applyNumberFormat="1" applyFont="1" applyFill="1" applyBorder="1" applyAlignment="1">
      <alignment horizontal="right"/>
    </xf>
    <xf numFmtId="3" fontId="11" fillId="0" borderId="10" xfId="0" applyNumberFormat="1" applyFont="1" applyFill="1" applyBorder="1" applyAlignment="1">
      <alignment horizontal="right"/>
    </xf>
    <xf numFmtId="10" fontId="11" fillId="0" borderId="10" xfId="0" applyNumberFormat="1" applyFont="1" applyFill="1" applyBorder="1" applyAlignment="1">
      <alignment horizontal="right"/>
    </xf>
    <xf numFmtId="3" fontId="11" fillId="2" borderId="6" xfId="0" applyNumberFormat="1" applyFont="1" applyFill="1" applyBorder="1" applyAlignment="1">
      <alignment horizontal="right"/>
    </xf>
    <xf numFmtId="3" fontId="11" fillId="0" borderId="6" xfId="0" applyNumberFormat="1" applyFont="1" applyFill="1" applyBorder="1" applyAlignment="1">
      <alignment horizontal="right"/>
    </xf>
    <xf numFmtId="10" fontId="11" fillId="0" borderId="6" xfId="0" applyNumberFormat="1" applyFont="1" applyFill="1" applyBorder="1" applyAlignment="1">
      <alignment horizontal="right"/>
    </xf>
    <xf numFmtId="3" fontId="11" fillId="0" borderId="34" xfId="0" applyNumberFormat="1" applyFont="1" applyFill="1" applyBorder="1" applyAlignment="1">
      <alignment horizontal="right"/>
    </xf>
    <xf numFmtId="10" fontId="11" fillId="0" borderId="3" xfId="0" applyNumberFormat="1" applyFont="1" applyFill="1" applyBorder="1" applyAlignment="1">
      <alignment horizontal="right"/>
    </xf>
    <xf numFmtId="0" fontId="20" fillId="0" borderId="3" xfId="0" applyFont="1" applyFill="1" applyBorder="1" applyAlignment="1">
      <alignment horizontal="center" vertical="center"/>
    </xf>
    <xf numFmtId="3" fontId="20" fillId="0" borderId="3" xfId="0" applyNumberFormat="1" applyFont="1" applyFill="1" applyBorder="1" applyAlignment="1">
      <alignment vertical="center"/>
    </xf>
    <xf numFmtId="10" fontId="10" fillId="0" borderId="3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3" fontId="21" fillId="0" borderId="0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3" fontId="21" fillId="0" borderId="0" xfId="0" applyNumberFormat="1" applyFont="1" applyBorder="1"/>
    <xf numFmtId="0" fontId="20" fillId="0" borderId="1" xfId="0" applyFont="1" applyFill="1" applyBorder="1" applyAlignment="1">
      <alignment horizontal="center" vertical="center"/>
    </xf>
    <xf numFmtId="3" fontId="21" fillId="0" borderId="1" xfId="0" applyNumberFormat="1" applyFont="1" applyFill="1" applyBorder="1"/>
    <xf numFmtId="3" fontId="11" fillId="0" borderId="1" xfId="0" applyNumberFormat="1" applyFont="1" applyFill="1" applyBorder="1"/>
    <xf numFmtId="3" fontId="21" fillId="0" borderId="1" xfId="0" applyNumberFormat="1" applyFont="1" applyBorder="1"/>
    <xf numFmtId="10" fontId="11" fillId="0" borderId="8" xfId="0" applyNumberFormat="1" applyFont="1" applyFill="1" applyBorder="1"/>
    <xf numFmtId="0" fontId="21" fillId="0" borderId="22" xfId="0" applyFont="1" applyFill="1" applyBorder="1"/>
    <xf numFmtId="3" fontId="11" fillId="2" borderId="33" xfId="0" applyNumberFormat="1" applyFont="1" applyFill="1" applyBorder="1"/>
    <xf numFmtId="3" fontId="21" fillId="0" borderId="8" xfId="0" applyNumberFormat="1" applyFont="1" applyFill="1" applyBorder="1" applyAlignment="1">
      <alignment horizontal="right"/>
    </xf>
    <xf numFmtId="3" fontId="11" fillId="2" borderId="8" xfId="0" applyNumberFormat="1" applyFont="1" applyFill="1" applyBorder="1"/>
    <xf numFmtId="10" fontId="11" fillId="0" borderId="8" xfId="0" applyNumberFormat="1" applyFont="1" applyFill="1" applyBorder="1" applyAlignment="1">
      <alignment horizontal="right"/>
    </xf>
    <xf numFmtId="10" fontId="11" fillId="0" borderId="33" xfId="0" applyNumberFormat="1" applyFont="1" applyFill="1" applyBorder="1"/>
    <xf numFmtId="3" fontId="21" fillId="0" borderId="33" xfId="0" applyNumberFormat="1" applyFont="1" applyFill="1" applyBorder="1"/>
    <xf numFmtId="3" fontId="21" fillId="0" borderId="8" xfId="0" applyNumberFormat="1" applyFont="1" applyFill="1" applyBorder="1"/>
    <xf numFmtId="0" fontId="21" fillId="0" borderId="15" xfId="0" applyFont="1" applyFill="1" applyBorder="1"/>
    <xf numFmtId="3" fontId="21" fillId="0" borderId="15" xfId="0" applyNumberFormat="1" applyFont="1" applyFill="1" applyBorder="1"/>
    <xf numFmtId="3" fontId="11" fillId="0" borderId="15" xfId="0" applyNumberFormat="1" applyFont="1" applyBorder="1"/>
    <xf numFmtId="3" fontId="11" fillId="0" borderId="15" xfId="0" applyNumberFormat="1" applyFont="1" applyFill="1" applyBorder="1"/>
    <xf numFmtId="3" fontId="11" fillId="0" borderId="15" xfId="0" applyNumberFormat="1" applyFont="1" applyBorder="1" applyAlignment="1">
      <alignment vertical="center"/>
    </xf>
    <xf numFmtId="0" fontId="11" fillId="0" borderId="15" xfId="0" applyFont="1" applyBorder="1"/>
    <xf numFmtId="0" fontId="11" fillId="0" borderId="15" xfId="0" applyFont="1" applyFill="1" applyBorder="1"/>
    <xf numFmtId="3" fontId="21" fillId="0" borderId="15" xfId="0" applyNumberFormat="1" applyFont="1" applyBorder="1"/>
    <xf numFmtId="3" fontId="11" fillId="0" borderId="1" xfId="0" applyNumberFormat="1" applyFont="1" applyBorder="1"/>
    <xf numFmtId="0" fontId="10" fillId="0" borderId="1" xfId="0" applyFont="1" applyBorder="1"/>
    <xf numFmtId="0" fontId="11" fillId="0" borderId="1" xfId="0" applyFont="1" applyBorder="1"/>
    <xf numFmtId="0" fontId="11" fillId="0" borderId="1" xfId="0" applyFont="1" applyFill="1" applyBorder="1"/>
    <xf numFmtId="3" fontId="11" fillId="0" borderId="35" xfId="0" applyNumberFormat="1" applyFont="1" applyFill="1" applyBorder="1" applyAlignment="1">
      <alignment horizontal="right"/>
    </xf>
    <xf numFmtId="3" fontId="21" fillId="0" borderId="36" xfId="0" applyNumberFormat="1" applyFont="1" applyFill="1" applyBorder="1"/>
    <xf numFmtId="3" fontId="11" fillId="0" borderId="35" xfId="0" applyNumberFormat="1" applyFont="1" applyFill="1" applyBorder="1"/>
    <xf numFmtId="3" fontId="11" fillId="0" borderId="4" xfId="0" applyNumberFormat="1" applyFont="1" applyFill="1" applyBorder="1"/>
    <xf numFmtId="3" fontId="11" fillId="0" borderId="32" xfId="0" applyNumberFormat="1" applyFont="1" applyFill="1" applyBorder="1"/>
    <xf numFmtId="3" fontId="11" fillId="0" borderId="37" xfId="0" applyNumberFormat="1" applyFont="1" applyFill="1" applyBorder="1" applyAlignment="1">
      <alignment horizontal="right"/>
    </xf>
    <xf numFmtId="3" fontId="11" fillId="0" borderId="36" xfId="0" applyNumberFormat="1" applyFont="1" applyFill="1" applyBorder="1" applyAlignment="1">
      <alignment horizontal="right"/>
    </xf>
    <xf numFmtId="3" fontId="11" fillId="0" borderId="36" xfId="0" applyNumberFormat="1" applyFont="1" applyFill="1" applyBorder="1"/>
    <xf numFmtId="3" fontId="11" fillId="0" borderId="37" xfId="0" applyNumberFormat="1" applyFont="1" applyFill="1" applyBorder="1"/>
    <xf numFmtId="3" fontId="11" fillId="0" borderId="32" xfId="0" applyNumberFormat="1" applyFont="1" applyFill="1" applyBorder="1" applyAlignment="1">
      <alignment horizontal="right"/>
    </xf>
    <xf numFmtId="3" fontId="11" fillId="0" borderId="38" xfId="0" applyNumberFormat="1" applyFont="1" applyFill="1" applyBorder="1" applyAlignment="1">
      <alignment horizontal="right"/>
    </xf>
    <xf numFmtId="0" fontId="11" fillId="0" borderId="22" xfId="0" applyFont="1" applyFill="1" applyBorder="1" applyAlignment="1">
      <alignment vertical="center"/>
    </xf>
    <xf numFmtId="0" fontId="21" fillId="0" borderId="19" xfId="0" applyFont="1" applyFill="1" applyBorder="1"/>
    <xf numFmtId="3" fontId="21" fillId="0" borderId="39" xfId="0" applyNumberFormat="1" applyFont="1" applyFill="1" applyBorder="1" applyAlignment="1">
      <alignment horizontal="right"/>
    </xf>
    <xf numFmtId="3" fontId="11" fillId="2" borderId="17" xfId="0" applyNumberFormat="1" applyFont="1" applyFill="1" applyBorder="1" applyAlignment="1">
      <alignment horizontal="right"/>
    </xf>
    <xf numFmtId="3" fontId="11" fillId="0" borderId="39" xfId="0" applyNumberFormat="1" applyFont="1" applyFill="1" applyBorder="1" applyAlignment="1">
      <alignment horizontal="right"/>
    </xf>
    <xf numFmtId="3" fontId="11" fillId="0" borderId="40" xfId="0" applyNumberFormat="1" applyFont="1" applyFill="1" applyBorder="1" applyAlignment="1">
      <alignment horizontal="right"/>
    </xf>
    <xf numFmtId="3" fontId="11" fillId="0" borderId="17" xfId="0" applyNumberFormat="1" applyFont="1" applyFill="1" applyBorder="1" applyAlignment="1">
      <alignment horizontal="right"/>
    </xf>
    <xf numFmtId="3" fontId="11" fillId="2" borderId="39" xfId="0" applyNumberFormat="1" applyFont="1" applyFill="1" applyBorder="1" applyProtection="1">
      <protection locked="0"/>
    </xf>
    <xf numFmtId="3" fontId="11" fillId="0" borderId="17" xfId="0" applyNumberFormat="1" applyFont="1" applyFill="1" applyBorder="1"/>
    <xf numFmtId="3" fontId="21" fillId="0" borderId="40" xfId="0" applyNumberFormat="1" applyFont="1" applyFill="1" applyBorder="1"/>
    <xf numFmtId="3" fontId="11" fillId="0" borderId="15" xfId="0" applyNumberFormat="1" applyFont="1" applyFill="1" applyBorder="1" applyAlignment="1">
      <alignment horizontal="right"/>
    </xf>
    <xf numFmtId="3" fontId="11" fillId="2" borderId="17" xfId="0" applyNumberFormat="1" applyFont="1" applyFill="1" applyBorder="1"/>
    <xf numFmtId="3" fontId="11" fillId="0" borderId="41" xfId="0" applyNumberFormat="1" applyFont="1" applyFill="1" applyBorder="1"/>
    <xf numFmtId="3" fontId="21" fillId="0" borderId="42" xfId="0" applyNumberFormat="1" applyFont="1" applyFill="1" applyBorder="1" applyAlignment="1">
      <alignment horizontal="right"/>
    </xf>
    <xf numFmtId="3" fontId="11" fillId="2" borderId="20" xfId="0" applyNumberFormat="1" applyFont="1" applyFill="1" applyBorder="1" applyAlignment="1">
      <alignment horizontal="right"/>
    </xf>
    <xf numFmtId="3" fontId="11" fillId="0" borderId="42" xfId="0" applyNumberFormat="1" applyFont="1" applyFill="1" applyBorder="1" applyAlignment="1">
      <alignment horizontal="right"/>
    </xf>
    <xf numFmtId="3" fontId="11" fillId="0" borderId="43" xfId="0" applyNumberFormat="1" applyFont="1" applyFill="1" applyBorder="1" applyAlignment="1">
      <alignment horizontal="right"/>
    </xf>
    <xf numFmtId="3" fontId="11" fillId="0" borderId="29" xfId="0" applyNumberFormat="1" applyFont="1" applyFill="1" applyBorder="1" applyAlignment="1">
      <alignment horizontal="right"/>
    </xf>
    <xf numFmtId="3" fontId="11" fillId="2" borderId="44" xfId="0" applyNumberFormat="1" applyFont="1" applyFill="1" applyBorder="1" applyProtection="1">
      <protection locked="0"/>
    </xf>
    <xf numFmtId="3" fontId="11" fillId="0" borderId="29" xfId="0" applyNumberFormat="1" applyFont="1" applyFill="1" applyBorder="1"/>
    <xf numFmtId="3" fontId="21" fillId="0" borderId="43" xfId="0" applyNumberFormat="1" applyFont="1" applyFill="1" applyBorder="1"/>
    <xf numFmtId="3" fontId="11" fillId="0" borderId="0" xfId="0" applyNumberFormat="1" applyFont="1" applyFill="1" applyBorder="1" applyAlignment="1">
      <alignment horizontal="right"/>
    </xf>
    <xf numFmtId="3" fontId="11" fillId="2" borderId="20" xfId="0" applyNumberFormat="1" applyFont="1" applyFill="1" applyBorder="1"/>
    <xf numFmtId="3" fontId="11" fillId="0" borderId="45" xfId="0" applyNumberFormat="1" applyFont="1" applyFill="1" applyBorder="1"/>
    <xf numFmtId="3" fontId="21" fillId="0" borderId="37" xfId="0" applyNumberFormat="1" applyFont="1" applyFill="1" applyBorder="1"/>
    <xf numFmtId="3" fontId="11" fillId="0" borderId="4" xfId="0" applyNumberFormat="1" applyFont="1" applyFill="1" applyBorder="1" applyAlignment="1">
      <alignment horizontal="right"/>
    </xf>
    <xf numFmtId="3" fontId="11" fillId="0" borderId="23" xfId="0" applyNumberFormat="1" applyFont="1" applyFill="1" applyBorder="1" applyAlignment="1">
      <alignment horizontal="right"/>
    </xf>
    <xf numFmtId="3" fontId="11" fillId="0" borderId="20" xfId="0" applyNumberFormat="1" applyFont="1" applyFill="1" applyBorder="1" applyAlignment="1">
      <alignment horizontal="right"/>
    </xf>
    <xf numFmtId="3" fontId="11" fillId="2" borderId="42" xfId="0" applyNumberFormat="1" applyFont="1" applyFill="1" applyBorder="1" applyProtection="1">
      <protection locked="0"/>
    </xf>
    <xf numFmtId="3" fontId="11" fillId="0" borderId="23" xfId="0" applyNumberFormat="1" applyFont="1" applyFill="1" applyBorder="1"/>
    <xf numFmtId="3" fontId="11" fillId="0" borderId="0" xfId="0" applyNumberFormat="1" applyFont="1" applyFill="1" applyBorder="1"/>
    <xf numFmtId="3" fontId="11" fillId="0" borderId="46" xfId="0" applyNumberFormat="1" applyFont="1" applyFill="1" applyBorder="1"/>
    <xf numFmtId="0" fontId="20" fillId="0" borderId="33" xfId="0" applyFont="1" applyFill="1" applyBorder="1" applyAlignment="1">
      <alignment horizontal="center" vertical="center"/>
    </xf>
    <xf numFmtId="3" fontId="20" fillId="0" borderId="3" xfId="0" applyNumberFormat="1" applyFont="1" applyFill="1" applyBorder="1" applyAlignment="1">
      <alignment horizontal="right" vertical="center"/>
    </xf>
    <xf numFmtId="10" fontId="10" fillId="0" borderId="3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33" xfId="0" applyFont="1" applyFill="1" applyBorder="1" applyAlignment="1">
      <alignment horizontal="left" indent="2"/>
    </xf>
    <xf numFmtId="0" fontId="20" fillId="0" borderId="8" xfId="0" applyFont="1" applyFill="1" applyBorder="1" applyAlignment="1">
      <alignment horizontal="left" indent="2"/>
    </xf>
    <xf numFmtId="3" fontId="11" fillId="2" borderId="8" xfId="0" applyNumberFormat="1" applyFont="1" applyFill="1" applyBorder="1" applyAlignment="1">
      <alignment horizontal="right"/>
    </xf>
    <xf numFmtId="3" fontId="13" fillId="0" borderId="33" xfId="0" applyNumberFormat="1" applyFont="1" applyFill="1" applyBorder="1" applyAlignment="1">
      <alignment vertical="center"/>
    </xf>
    <xf numFmtId="3" fontId="12" fillId="2" borderId="8" xfId="0" applyNumberFormat="1" applyFont="1" applyFill="1" applyBorder="1" applyAlignment="1">
      <alignment vertical="center"/>
    </xf>
    <xf numFmtId="3" fontId="12" fillId="0" borderId="7" xfId="0" applyNumberFormat="1" applyFont="1" applyFill="1" applyBorder="1" applyAlignment="1">
      <alignment vertical="center"/>
    </xf>
    <xf numFmtId="10" fontId="12" fillId="0" borderId="7" xfId="0" applyNumberFormat="1" applyFont="1" applyFill="1" applyBorder="1" applyAlignment="1">
      <alignment vertical="center"/>
    </xf>
    <xf numFmtId="3" fontId="12" fillId="2" borderId="34" xfId="0" applyNumberFormat="1" applyFont="1" applyFill="1" applyBorder="1" applyAlignment="1">
      <alignment vertical="center"/>
    </xf>
    <xf numFmtId="3" fontId="12" fillId="0" borderId="34" xfId="0" applyNumberFormat="1" applyFont="1" applyFill="1" applyBorder="1" applyAlignment="1">
      <alignment vertical="center"/>
    </xf>
    <xf numFmtId="10" fontId="12" fillId="0" borderId="34" xfId="0" applyNumberFormat="1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3" fontId="21" fillId="0" borderId="3" xfId="0" applyNumberFormat="1" applyFont="1" applyFill="1" applyBorder="1" applyAlignment="1">
      <alignment vertical="center"/>
    </xf>
    <xf numFmtId="3" fontId="11" fillId="2" borderId="3" xfId="0" applyNumberFormat="1" applyFont="1" applyFill="1" applyBorder="1" applyAlignment="1">
      <alignment vertical="center"/>
    </xf>
    <xf numFmtId="10" fontId="11" fillId="0" borderId="3" xfId="0" applyNumberFormat="1" applyFont="1" applyFill="1" applyBorder="1" applyAlignment="1">
      <alignment vertical="center"/>
    </xf>
    <xf numFmtId="3" fontId="12" fillId="0" borderId="3" xfId="0" applyNumberFormat="1" applyFont="1" applyFill="1" applyBorder="1" applyAlignment="1">
      <alignment vertical="center"/>
    </xf>
    <xf numFmtId="3" fontId="12" fillId="2" borderId="3" xfId="0" applyNumberFormat="1" applyFont="1" applyFill="1" applyBorder="1" applyAlignment="1">
      <alignment vertical="center"/>
    </xf>
    <xf numFmtId="10" fontId="12" fillId="0" borderId="3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3" fontId="13" fillId="0" borderId="8" xfId="0" applyNumberFormat="1" applyFont="1" applyFill="1" applyBorder="1" applyAlignment="1">
      <alignment vertical="center"/>
    </xf>
    <xf numFmtId="3" fontId="12" fillId="0" borderId="8" xfId="0" applyNumberFormat="1" applyFont="1" applyFill="1" applyBorder="1" applyAlignment="1">
      <alignment vertical="center"/>
    </xf>
    <xf numFmtId="10" fontId="12" fillId="0" borderId="8" xfId="0" applyNumberFormat="1" applyFont="1" applyFill="1" applyBorder="1" applyAlignment="1">
      <alignment vertical="center"/>
    </xf>
    <xf numFmtId="0" fontId="21" fillId="0" borderId="0" xfId="0" applyFont="1" applyFill="1"/>
    <xf numFmtId="3" fontId="21" fillId="0" borderId="0" xfId="0" applyNumberFormat="1" applyFont="1" applyFill="1"/>
    <xf numFmtId="3" fontId="11" fillId="0" borderId="0" xfId="0" applyNumberFormat="1" applyFont="1"/>
    <xf numFmtId="3" fontId="11" fillId="0" borderId="0" xfId="0" applyNumberFormat="1" applyFont="1" applyFill="1"/>
    <xf numFmtId="3" fontId="21" fillId="0" borderId="0" xfId="0" applyNumberFormat="1" applyFont="1"/>
    <xf numFmtId="0" fontId="16" fillId="0" borderId="0" xfId="0" applyFont="1" applyAlignment="1">
      <alignment wrapText="1"/>
    </xf>
    <xf numFmtId="3" fontId="16" fillId="0" borderId="0" xfId="0" applyNumberFormat="1" applyFont="1" applyAlignment="1">
      <alignment wrapText="1"/>
    </xf>
    <xf numFmtId="0" fontId="22" fillId="0" borderId="0" xfId="0" applyFont="1" applyAlignment="1">
      <alignment horizontal="center" vertical="center"/>
    </xf>
    <xf numFmtId="3" fontId="18" fillId="0" borderId="0" xfId="0" applyNumberFormat="1" applyFont="1"/>
    <xf numFmtId="0" fontId="18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 applyBorder="1" applyAlignment="1">
      <alignment horizontal="center" vertical="center" wrapText="1"/>
    </xf>
    <xf numFmtId="3" fontId="24" fillId="0" borderId="0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/>
    <xf numFmtId="0" fontId="8" fillId="0" borderId="0" xfId="0" applyFont="1" applyAlignment="1">
      <alignment horizontal="right"/>
    </xf>
    <xf numFmtId="3" fontId="9" fillId="0" borderId="1" xfId="0" applyNumberFormat="1" applyFont="1" applyFill="1" applyBorder="1" applyAlignment="1">
      <alignment horizontal="right" vertical="center"/>
    </xf>
    <xf numFmtId="3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Border="1"/>
    <xf numFmtId="0" fontId="24" fillId="0" borderId="0" xfId="0" applyFont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3" fontId="23" fillId="0" borderId="0" xfId="0" applyNumberFormat="1" applyFont="1"/>
    <xf numFmtId="0" fontId="26" fillId="0" borderId="0" xfId="0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3" fontId="23" fillId="0" borderId="0" xfId="0" applyNumberFormat="1" applyFont="1" applyAlignment="1">
      <alignment vertical="center" wrapText="1"/>
    </xf>
    <xf numFmtId="0" fontId="15" fillId="0" borderId="0" xfId="0" applyFont="1" applyBorder="1" applyAlignment="1">
      <alignment horizontal="center" vertical="center"/>
    </xf>
    <xf numFmtId="3" fontId="23" fillId="0" borderId="0" xfId="0" applyNumberFormat="1" applyFont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3" fontId="24" fillId="0" borderId="0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vertical="center"/>
    </xf>
    <xf numFmtId="3" fontId="25" fillId="0" borderId="0" xfId="0" applyNumberFormat="1" applyFont="1" applyAlignment="1">
      <alignment vertical="center"/>
    </xf>
    <xf numFmtId="0" fontId="25" fillId="0" borderId="0" xfId="0" applyFont="1" applyFill="1" applyBorder="1" applyAlignment="1">
      <alignment wrapText="1"/>
    </xf>
    <xf numFmtId="3" fontId="25" fillId="0" borderId="0" xfId="0" applyNumberFormat="1" applyFont="1" applyFill="1" applyAlignment="1">
      <alignment vertical="center"/>
    </xf>
    <xf numFmtId="0" fontId="23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vertical="center"/>
    </xf>
    <xf numFmtId="49" fontId="23" fillId="0" borderId="0" xfId="0" applyNumberFormat="1" applyFont="1" applyAlignment="1">
      <alignment vertical="center"/>
    </xf>
    <xf numFmtId="3" fontId="25" fillId="0" borderId="0" xfId="0" applyNumberFormat="1" applyFont="1" applyFill="1" applyAlignment="1" applyProtection="1">
      <alignment vertical="center"/>
      <protection locked="0"/>
    </xf>
    <xf numFmtId="0" fontId="24" fillId="0" borderId="0" xfId="0" applyFont="1" applyAlignment="1">
      <alignment vertical="center"/>
    </xf>
    <xf numFmtId="3" fontId="24" fillId="0" borderId="3" xfId="0" applyNumberFormat="1" applyFont="1" applyBorder="1" applyAlignment="1">
      <alignment vertical="center"/>
    </xf>
    <xf numFmtId="3" fontId="15" fillId="2" borderId="3" xfId="0" applyNumberFormat="1" applyFont="1" applyFill="1" applyBorder="1" applyAlignment="1">
      <alignment vertical="center"/>
    </xf>
    <xf numFmtId="3" fontId="15" fillId="0" borderId="3" xfId="0" applyNumberFormat="1" applyFont="1" applyFill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3" fontId="15" fillId="2" borderId="0" xfId="0" applyNumberFormat="1" applyFont="1" applyFill="1" applyBorder="1" applyAlignment="1">
      <alignment vertical="center"/>
    </xf>
    <xf numFmtId="3" fontId="15" fillId="0" borderId="0" xfId="0" applyNumberFormat="1" applyFont="1" applyFill="1" applyBorder="1" applyAlignment="1">
      <alignment vertical="center"/>
    </xf>
    <xf numFmtId="0" fontId="24" fillId="0" borderId="0" xfId="0" applyFont="1" applyAlignment="1">
      <alignment horizontal="center" vertical="center"/>
    </xf>
    <xf numFmtId="3" fontId="15" fillId="0" borderId="3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0" fontId="23" fillId="0" borderId="0" xfId="0" applyFont="1" applyFill="1" applyBorder="1" applyAlignment="1">
      <alignment horizontal="left" wrapText="1"/>
    </xf>
    <xf numFmtId="3" fontId="23" fillId="0" borderId="0" xfId="0" applyNumberFormat="1" applyFont="1" applyAlignment="1" applyProtection="1">
      <alignment vertical="center"/>
      <protection locked="0"/>
    </xf>
    <xf numFmtId="3" fontId="25" fillId="2" borderId="0" xfId="0" applyNumberFormat="1" applyFont="1" applyFill="1" applyAlignment="1" applyProtection="1">
      <alignment vertical="center"/>
      <protection locked="0"/>
    </xf>
    <xf numFmtId="0" fontId="23" fillId="0" borderId="0" xfId="0" applyFont="1" applyAlignment="1">
      <alignment horizontal="left" vertical="center" wrapText="1"/>
    </xf>
    <xf numFmtId="3" fontId="15" fillId="2" borderId="3" xfId="0" applyNumberFormat="1" applyFont="1" applyFill="1" applyBorder="1" applyAlignment="1" applyProtection="1">
      <alignment vertical="center"/>
      <protection locked="0"/>
    </xf>
    <xf numFmtId="0" fontId="23" fillId="0" borderId="0" xfId="0" applyFont="1" applyBorder="1" applyAlignment="1">
      <alignment vertical="center" wrapText="1"/>
    </xf>
    <xf numFmtId="3" fontId="15" fillId="0" borderId="0" xfId="0" applyNumberFormat="1" applyFont="1" applyBorder="1" applyAlignment="1">
      <alignment vertical="center"/>
    </xf>
    <xf numFmtId="0" fontId="24" fillId="5" borderId="0" xfId="0" applyFont="1" applyFill="1" applyAlignment="1">
      <alignment vertical="center"/>
    </xf>
    <xf numFmtId="0" fontId="23" fillId="5" borderId="0" xfId="0" applyFont="1" applyFill="1" applyAlignment="1">
      <alignment vertical="center" wrapText="1"/>
    </xf>
    <xf numFmtId="3" fontId="24" fillId="6" borderId="3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wrapText="1"/>
    </xf>
    <xf numFmtId="3" fontId="23" fillId="0" borderId="0" xfId="0" applyNumberFormat="1" applyFont="1" applyFill="1" applyBorder="1" applyAlignment="1">
      <alignment wrapText="1"/>
    </xf>
    <xf numFmtId="0" fontId="25" fillId="0" borderId="0" xfId="0" applyFont="1" applyAlignment="1">
      <alignment vertical="center" wrapText="1"/>
    </xf>
    <xf numFmtId="3" fontId="24" fillId="0" borderId="2" xfId="0" applyNumberFormat="1" applyFont="1" applyBorder="1" applyAlignment="1">
      <alignment vertical="center"/>
    </xf>
    <xf numFmtId="3" fontId="15" fillId="0" borderId="4" xfId="0" applyNumberFormat="1" applyFont="1" applyFill="1" applyBorder="1" applyAlignment="1">
      <alignment vertical="center"/>
    </xf>
    <xf numFmtId="0" fontId="23" fillId="0" borderId="0" xfId="0" applyFont="1" applyAlignment="1">
      <alignment horizontal="right" vertical="center"/>
    </xf>
    <xf numFmtId="3" fontId="15" fillId="2" borderId="32" xfId="0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3" fontId="24" fillId="0" borderId="0" xfId="0" applyNumberFormat="1" applyFont="1" applyAlignment="1">
      <alignment vertical="center" wrapText="1"/>
    </xf>
    <xf numFmtId="3" fontId="23" fillId="0" borderId="0" xfId="0" applyNumberFormat="1" applyFont="1" applyAlignment="1">
      <alignment horizontal="right" vertical="center" wrapText="1"/>
    </xf>
    <xf numFmtId="3" fontId="24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wrapText="1"/>
    </xf>
    <xf numFmtId="3" fontId="24" fillId="0" borderId="0" xfId="0" applyNumberFormat="1" applyFont="1" applyAlignment="1">
      <alignment horizontal="right" wrapText="1"/>
    </xf>
    <xf numFmtId="0" fontId="23" fillId="0" borderId="0" xfId="0" applyFont="1" applyAlignment="1">
      <alignment horizontal="left" vertical="center" wrapText="1" indent="1"/>
    </xf>
    <xf numFmtId="3" fontId="28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 wrapText="1"/>
    </xf>
    <xf numFmtId="0" fontId="23" fillId="0" borderId="0" xfId="0" applyFont="1" applyFill="1" applyAlignment="1">
      <alignment vertical="center" wrapText="1"/>
    </xf>
    <xf numFmtId="3" fontId="23" fillId="0" borderId="0" xfId="0" applyNumberFormat="1" applyFont="1" applyAlignment="1">
      <alignment horizontal="left" vertical="center" wrapText="1" indent="1"/>
    </xf>
    <xf numFmtId="0" fontId="24" fillId="0" borderId="0" xfId="0" applyFont="1" applyAlignment="1">
      <alignment horizontal="left" vertical="center" wrapText="1"/>
    </xf>
    <xf numFmtId="3" fontId="25" fillId="2" borderId="0" xfId="0" applyNumberFormat="1" applyFont="1" applyFill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9" fillId="0" borderId="0" xfId="0" applyFont="1" applyAlignment="1">
      <alignment vertical="center"/>
    </xf>
    <xf numFmtId="3" fontId="24" fillId="0" borderId="3" xfId="0" applyNumberFormat="1" applyFont="1" applyBorder="1" applyAlignment="1" applyProtection="1">
      <alignment vertical="center"/>
      <protection locked="0"/>
    </xf>
    <xf numFmtId="3" fontId="15" fillId="6" borderId="3" xfId="0" applyNumberFormat="1" applyFont="1" applyFill="1" applyBorder="1" applyAlignment="1">
      <alignment vertical="center"/>
    </xf>
    <xf numFmtId="3" fontId="24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3" fontId="23" fillId="0" borderId="0" xfId="0" applyNumberFormat="1" applyFont="1" applyAlignment="1">
      <alignment horizontal="left" vertical="center" wrapText="1"/>
    </xf>
    <xf numFmtId="3" fontId="24" fillId="0" borderId="0" xfId="0" applyNumberFormat="1" applyFont="1" applyAlignment="1">
      <alignment wrapText="1"/>
    </xf>
    <xf numFmtId="3" fontId="24" fillId="0" borderId="0" xfId="0" applyNumberFormat="1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3" fontId="23" fillId="0" borderId="0" xfId="0" applyNumberFormat="1" applyFont="1" applyBorder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3" fontId="24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wrapText="1"/>
    </xf>
    <xf numFmtId="3" fontId="23" fillId="0" borderId="0" xfId="0" applyNumberFormat="1" applyFont="1" applyFill="1" applyAlignment="1" applyProtection="1">
      <alignment vertical="center"/>
      <protection locked="0"/>
    </xf>
    <xf numFmtId="3" fontId="25" fillId="0" borderId="0" xfId="0" applyNumberFormat="1" applyFont="1" applyFill="1" applyAlignment="1"/>
    <xf numFmtId="3" fontId="25" fillId="2" borderId="0" xfId="0" applyNumberFormat="1" applyFont="1" applyFill="1" applyAlignment="1" applyProtection="1">
      <protection locked="0"/>
    </xf>
    <xf numFmtId="3" fontId="25" fillId="0" borderId="0" xfId="0" applyNumberFormat="1" applyFont="1" applyAlignment="1"/>
    <xf numFmtId="3" fontId="25" fillId="0" borderId="0" xfId="0" applyNumberFormat="1" applyFont="1" applyFill="1" applyBorder="1" applyAlignment="1">
      <alignment wrapText="1"/>
    </xf>
    <xf numFmtId="3" fontId="25" fillId="0" borderId="0" xfId="0" applyNumberFormat="1" applyFont="1" applyAlignment="1">
      <alignment vertical="center" wrapText="1"/>
    </xf>
    <xf numFmtId="3" fontId="23" fillId="0" borderId="0" xfId="0" applyNumberFormat="1" applyFont="1" applyFill="1" applyAlignment="1">
      <alignment vertical="center"/>
    </xf>
    <xf numFmtId="3" fontId="25" fillId="0" borderId="0" xfId="0" applyNumberFormat="1" applyFont="1" applyFill="1" applyBorder="1" applyAlignment="1">
      <alignment horizontal="left" wrapText="1"/>
    </xf>
    <xf numFmtId="3" fontId="23" fillId="0" borderId="0" xfId="0" applyNumberFormat="1" applyFont="1" applyFill="1" applyBorder="1" applyAlignment="1">
      <alignment horizontal="left" wrapText="1"/>
    </xf>
    <xf numFmtId="3" fontId="24" fillId="0" borderId="3" xfId="0" applyNumberFormat="1" applyFont="1" applyFill="1" applyBorder="1" applyAlignment="1">
      <alignment vertical="center"/>
    </xf>
    <xf numFmtId="3" fontId="23" fillId="0" borderId="0" xfId="0" applyNumberFormat="1" applyFont="1" applyFill="1" applyAlignment="1" applyProtection="1">
      <protection locked="0"/>
    </xf>
    <xf numFmtId="3" fontId="23" fillId="0" borderId="0" xfId="0" applyNumberFormat="1" applyFont="1" applyAlignment="1"/>
    <xf numFmtId="0" fontId="29" fillId="0" borderId="0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3" fillId="7" borderId="0" xfId="0" applyFont="1" applyFill="1" applyAlignment="1">
      <alignment vertical="center"/>
    </xf>
    <xf numFmtId="3" fontId="25" fillId="5" borderId="0" xfId="0" applyNumberFormat="1" applyFont="1" applyFill="1" applyAlignment="1">
      <alignment vertical="center"/>
    </xf>
    <xf numFmtId="3" fontId="23" fillId="0" borderId="0" xfId="0" applyNumberFormat="1" applyFont="1" applyFill="1" applyBorder="1" applyAlignment="1">
      <alignment vertical="center"/>
    </xf>
    <xf numFmtId="3" fontId="25" fillId="2" borderId="0" xfId="0" applyNumberFormat="1" applyFont="1" applyFill="1" applyBorder="1" applyAlignment="1">
      <alignment vertical="center"/>
    </xf>
    <xf numFmtId="3" fontId="25" fillId="0" borderId="0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0" fontId="23" fillId="5" borderId="0" xfId="0" applyFont="1" applyFill="1" applyAlignment="1">
      <alignment vertical="center"/>
    </xf>
    <xf numFmtId="3" fontId="24" fillId="5" borderId="3" xfId="0" applyNumberFormat="1" applyFont="1" applyFill="1" applyBorder="1" applyAlignment="1">
      <alignment vertical="center"/>
    </xf>
    <xf numFmtId="3" fontId="15" fillId="5" borderId="3" xfId="0" applyNumberFormat="1" applyFont="1" applyFill="1" applyBorder="1" applyAlignment="1">
      <alignment vertical="center"/>
    </xf>
    <xf numFmtId="3" fontId="23" fillId="0" borderId="0" xfId="0" applyNumberFormat="1" applyFont="1" applyFill="1" applyAlignment="1">
      <alignment vertical="center" wrapText="1"/>
    </xf>
    <xf numFmtId="3" fontId="25" fillId="0" borderId="0" xfId="0" applyNumberFormat="1" applyFont="1" applyBorder="1" applyAlignment="1">
      <alignment vertical="center"/>
    </xf>
    <xf numFmtId="49" fontId="23" fillId="0" borderId="0" xfId="0" applyNumberFormat="1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3" fontId="25" fillId="0" borderId="0" xfId="0" applyNumberFormat="1" applyFont="1"/>
    <xf numFmtId="3" fontId="23" fillId="0" borderId="0" xfId="0" applyNumberFormat="1" applyFont="1" applyAlignment="1">
      <alignment wrapText="1"/>
    </xf>
    <xf numFmtId="0" fontId="21" fillId="0" borderId="0" xfId="0" applyFont="1" applyAlignment="1">
      <alignment wrapText="1"/>
    </xf>
    <xf numFmtId="3" fontId="21" fillId="0" borderId="0" xfId="0" applyNumberFormat="1" applyFont="1" applyAlignment="1">
      <alignment wrapText="1"/>
    </xf>
    <xf numFmtId="0" fontId="30" fillId="0" borderId="0" xfId="0" applyFont="1"/>
    <xf numFmtId="3" fontId="30" fillId="0" borderId="0" xfId="0" applyNumberFormat="1" applyFont="1"/>
    <xf numFmtId="3" fontId="30" fillId="0" borderId="0" xfId="0" applyNumberFormat="1" applyFont="1" applyAlignment="1"/>
    <xf numFmtId="0" fontId="30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wrapText="1"/>
    </xf>
    <xf numFmtId="0" fontId="30" fillId="0" borderId="0" xfId="0" applyFont="1" applyBorder="1"/>
    <xf numFmtId="0" fontId="30" fillId="0" borderId="23" xfId="0" applyFont="1" applyBorder="1"/>
    <xf numFmtId="3" fontId="30" fillId="0" borderId="3" xfId="0" applyNumberFormat="1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25" fillId="0" borderId="22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3" fontId="25" fillId="0" borderId="0" xfId="0" applyNumberFormat="1" applyFont="1" applyFill="1" applyBorder="1" applyProtection="1">
      <protection locked="0"/>
    </xf>
    <xf numFmtId="3" fontId="15" fillId="0" borderId="0" xfId="0" applyNumberFormat="1" applyFont="1" applyFill="1" applyBorder="1" applyAlignment="1">
      <alignment horizontal="center" vertical="center"/>
    </xf>
    <xf numFmtId="3" fontId="25" fillId="0" borderId="0" xfId="0" applyNumberFormat="1" applyFont="1" applyFill="1" applyBorder="1"/>
    <xf numFmtId="0" fontId="25" fillId="0" borderId="0" xfId="0" applyFont="1" applyBorder="1"/>
    <xf numFmtId="0" fontId="15" fillId="0" borderId="0" xfId="0" applyFont="1" applyBorder="1"/>
    <xf numFmtId="3" fontId="15" fillId="0" borderId="0" xfId="0" applyNumberFormat="1" applyFont="1" applyFill="1" applyBorder="1"/>
    <xf numFmtId="3" fontId="15" fillId="0" borderId="0" xfId="0" applyNumberFormat="1" applyFont="1" applyFill="1" applyBorder="1" applyAlignment="1" applyProtection="1">
      <protection locked="0"/>
    </xf>
    <xf numFmtId="3" fontId="15" fillId="0" borderId="23" xfId="0" applyNumberFormat="1" applyFont="1" applyBorder="1" applyAlignment="1"/>
    <xf numFmtId="0" fontId="15" fillId="0" borderId="23" xfId="0" applyFont="1" applyBorder="1"/>
    <xf numFmtId="0" fontId="15" fillId="0" borderId="22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3" fontId="15" fillId="0" borderId="0" xfId="0" applyNumberFormat="1" applyFont="1" applyBorder="1" applyAlignment="1"/>
    <xf numFmtId="0" fontId="25" fillId="0" borderId="0" xfId="0" applyFont="1" applyFill="1" applyBorder="1" applyAlignment="1">
      <alignment vertical="center"/>
    </xf>
    <xf numFmtId="0" fontId="25" fillId="0" borderId="22" xfId="0" applyFont="1" applyBorder="1"/>
    <xf numFmtId="3" fontId="25" fillId="2" borderId="0" xfId="0" applyNumberFormat="1" applyFont="1" applyFill="1" applyBorder="1" applyProtection="1">
      <protection locked="0"/>
    </xf>
    <xf numFmtId="3" fontId="25" fillId="0" borderId="0" xfId="0" applyNumberFormat="1" applyFont="1" applyBorder="1"/>
    <xf numFmtId="3" fontId="25" fillId="2" borderId="0" xfId="0" applyNumberFormat="1" applyFont="1" applyFill="1" applyBorder="1"/>
    <xf numFmtId="3" fontId="15" fillId="0" borderId="0" xfId="0" applyNumberFormat="1" applyFont="1" applyBorder="1"/>
    <xf numFmtId="3" fontId="15" fillId="2" borderId="0" xfId="0" applyNumberFormat="1" applyFont="1" applyFill="1" applyBorder="1" applyAlignment="1" applyProtection="1">
      <protection locked="0"/>
    </xf>
    <xf numFmtId="3" fontId="15" fillId="0" borderId="23" xfId="0" applyNumberFormat="1" applyFont="1" applyBorder="1"/>
    <xf numFmtId="0" fontId="25" fillId="0" borderId="22" xfId="0" applyFont="1" applyFill="1" applyBorder="1"/>
    <xf numFmtId="3" fontId="23" fillId="0" borderId="0" xfId="0" applyNumberFormat="1" applyFont="1" applyFill="1" applyBorder="1"/>
    <xf numFmtId="3" fontId="23" fillId="0" borderId="0" xfId="0" applyNumberFormat="1" applyFont="1" applyFill="1" applyBorder="1" applyProtection="1">
      <protection locked="0"/>
    </xf>
    <xf numFmtId="0" fontId="25" fillId="0" borderId="22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left" indent="2"/>
    </xf>
    <xf numFmtId="0" fontId="25" fillId="0" borderId="0" xfId="0" applyFont="1" applyFill="1" applyBorder="1"/>
    <xf numFmtId="3" fontId="15" fillId="0" borderId="0" xfId="0" applyNumberFormat="1" applyFont="1" applyFill="1" applyBorder="1" applyAlignment="1"/>
    <xf numFmtId="0" fontId="15" fillId="5" borderId="22" xfId="0" applyFont="1" applyFill="1" applyBorder="1" applyAlignment="1">
      <alignment vertical="center"/>
    </xf>
    <xf numFmtId="0" fontId="15" fillId="5" borderId="0" xfId="0" applyFont="1" applyFill="1" applyBorder="1" applyAlignment="1">
      <alignment vertical="center"/>
    </xf>
    <xf numFmtId="3" fontId="15" fillId="0" borderId="2" xfId="0" applyNumberFormat="1" applyFont="1" applyBorder="1" applyAlignment="1">
      <alignment horizontal="right" vertical="center"/>
    </xf>
    <xf numFmtId="3" fontId="15" fillId="0" borderId="3" xfId="0" applyNumberFormat="1" applyFont="1" applyBorder="1" applyAlignment="1">
      <alignment horizontal="right" vertical="center"/>
    </xf>
    <xf numFmtId="3" fontId="15" fillId="2" borderId="3" xfId="0" applyNumberFormat="1" applyFont="1" applyFill="1" applyBorder="1" applyAlignment="1" applyProtection="1">
      <alignment horizontal="right" vertical="center"/>
      <protection locked="0"/>
    </xf>
    <xf numFmtId="3" fontId="15" fillId="0" borderId="4" xfId="0" applyNumberFormat="1" applyFont="1" applyBorder="1" applyAlignment="1">
      <alignment horizontal="right" vertical="center"/>
    </xf>
    <xf numFmtId="3" fontId="30" fillId="0" borderId="4" xfId="0" applyNumberFormat="1" applyFont="1" applyBorder="1" applyAlignment="1">
      <alignment horizontal="right" vertical="center"/>
    </xf>
    <xf numFmtId="0" fontId="15" fillId="0" borderId="22" xfId="0" applyFont="1" applyBorder="1" applyAlignment="1">
      <alignment horizontal="center" vertical="center"/>
    </xf>
    <xf numFmtId="3" fontId="25" fillId="0" borderId="0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Fill="1" applyBorder="1" applyAlignment="1">
      <alignment horizontal="center" wrapText="1"/>
    </xf>
    <xf numFmtId="3" fontId="25" fillId="0" borderId="0" xfId="0" applyNumberFormat="1" applyFont="1" applyFill="1" applyBorder="1" applyAlignment="1"/>
    <xf numFmtId="3" fontId="25" fillId="2" borderId="0" xfId="0" applyNumberFormat="1" applyFont="1" applyFill="1" applyBorder="1" applyAlignment="1" applyProtection="1">
      <protection locked="0"/>
    </xf>
    <xf numFmtId="3" fontId="25" fillId="0" borderId="0" xfId="0" applyNumberFormat="1" applyFont="1" applyBorder="1" applyAlignment="1"/>
    <xf numFmtId="3" fontId="25" fillId="0" borderId="0" xfId="0" applyNumberFormat="1" applyFont="1" applyFill="1" applyBorder="1" applyAlignment="1">
      <alignment horizontal="center" wrapText="1"/>
    </xf>
    <xf numFmtId="3" fontId="25" fillId="0" borderId="0" xfId="0" applyNumberFormat="1" applyFont="1" applyFill="1" applyBorder="1" applyAlignment="1">
      <alignment horizontal="right" wrapText="1"/>
    </xf>
    <xf numFmtId="0" fontId="15" fillId="5" borderId="22" xfId="0" applyFont="1" applyFill="1" applyBorder="1" applyAlignment="1"/>
    <xf numFmtId="0" fontId="25" fillId="5" borderId="0" xfId="0" applyFont="1" applyFill="1" applyBorder="1" applyAlignment="1"/>
    <xf numFmtId="3" fontId="15" fillId="0" borderId="2" xfId="0" applyNumberFormat="1" applyFont="1" applyBorder="1" applyAlignment="1">
      <alignment horizontal="right"/>
    </xf>
    <xf numFmtId="3" fontId="15" fillId="2" borderId="2" xfId="0" applyNumberFormat="1" applyFont="1" applyFill="1" applyBorder="1" applyAlignment="1">
      <alignment horizontal="right"/>
    </xf>
    <xf numFmtId="3" fontId="15" fillId="0" borderId="3" xfId="0" applyNumberFormat="1" applyFont="1" applyBorder="1" applyAlignment="1">
      <alignment horizontal="right"/>
    </xf>
    <xf numFmtId="3" fontId="15" fillId="0" borderId="2" xfId="0" applyNumberFormat="1" applyFont="1" applyBorder="1" applyAlignment="1">
      <alignment horizontal="right" wrapText="1"/>
    </xf>
    <xf numFmtId="3" fontId="15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Border="1" applyAlignment="1">
      <alignment horizontal="right" wrapText="1"/>
    </xf>
    <xf numFmtId="3" fontId="15" fillId="0" borderId="3" xfId="0" applyNumberFormat="1" applyFont="1" applyBorder="1" applyAlignment="1">
      <alignment horizontal="right" wrapText="1"/>
    </xf>
    <xf numFmtId="3" fontId="15" fillId="0" borderId="4" xfId="0" applyNumberFormat="1" applyFont="1" applyFill="1" applyBorder="1" applyAlignment="1">
      <alignment horizontal="right" wrapText="1"/>
    </xf>
    <xf numFmtId="0" fontId="25" fillId="0" borderId="0" xfId="0" applyFont="1" applyAlignment="1">
      <alignment horizontal="right"/>
    </xf>
    <xf numFmtId="3" fontId="25" fillId="6" borderId="0" xfId="0" applyNumberFormat="1" applyFont="1" applyFill="1" applyBorder="1" applyAlignment="1"/>
    <xf numFmtId="3" fontId="25" fillId="2" borderId="0" xfId="0" applyNumberFormat="1" applyFont="1" applyFill="1" applyBorder="1" applyAlignment="1" applyProtection="1">
      <alignment vertical="center"/>
      <protection locked="0"/>
    </xf>
    <xf numFmtId="3" fontId="25" fillId="0" borderId="0" xfId="0" applyNumberFormat="1" applyFont="1" applyFill="1" applyBorder="1" applyAlignment="1">
      <alignment horizontal="right" vertical="center" wrapText="1"/>
    </xf>
    <xf numFmtId="0" fontId="25" fillId="5" borderId="0" xfId="0" applyFont="1" applyFill="1" applyBorder="1" applyAlignment="1">
      <alignment vertical="center"/>
    </xf>
    <xf numFmtId="3" fontId="15" fillId="0" borderId="0" xfId="0" applyNumberFormat="1" applyFont="1" applyFill="1" applyBorder="1" applyAlignment="1">
      <alignment wrapText="1"/>
    </xf>
    <xf numFmtId="3" fontId="15" fillId="0" borderId="0" xfId="0" applyNumberFormat="1" applyFont="1" applyFill="1" applyBorder="1" applyProtection="1">
      <protection locked="0"/>
    </xf>
    <xf numFmtId="0" fontId="15" fillId="0" borderId="0" xfId="0" applyFont="1" applyFill="1" applyBorder="1" applyAlignment="1">
      <alignment wrapText="1"/>
    </xf>
    <xf numFmtId="0" fontId="15" fillId="0" borderId="22" xfId="0" applyFont="1" applyBorder="1"/>
    <xf numFmtId="3" fontId="30" fillId="0" borderId="0" xfId="0" applyNumberFormat="1" applyFont="1" applyFill="1" applyBorder="1"/>
    <xf numFmtId="3" fontId="15" fillId="0" borderId="23" xfId="0" applyNumberFormat="1" applyFont="1" applyFill="1" applyBorder="1"/>
    <xf numFmtId="0" fontId="15" fillId="0" borderId="22" xfId="0" applyFont="1" applyFill="1" applyBorder="1" applyAlignment="1">
      <alignment vertical="center"/>
    </xf>
    <xf numFmtId="3" fontId="15" fillId="0" borderId="2" xfId="0" applyNumberFormat="1" applyFont="1" applyBorder="1" applyAlignment="1">
      <alignment vertical="center"/>
    </xf>
    <xf numFmtId="3" fontId="30" fillId="0" borderId="4" xfId="0" applyNumberFormat="1" applyFont="1" applyFill="1" applyBorder="1" applyAlignment="1">
      <alignment vertical="center"/>
    </xf>
    <xf numFmtId="3" fontId="15" fillId="0" borderId="4" xfId="0" applyNumberFormat="1" applyFont="1" applyBorder="1" applyAlignment="1">
      <alignment vertical="center"/>
    </xf>
    <xf numFmtId="0" fontId="15" fillId="0" borderId="0" xfId="0" applyFont="1"/>
    <xf numFmtId="0" fontId="33" fillId="0" borderId="0" xfId="0" applyFont="1" applyFill="1" applyBorder="1" applyAlignment="1">
      <alignment vertical="center"/>
    </xf>
    <xf numFmtId="0" fontId="34" fillId="0" borderId="0" xfId="0" applyFont="1" applyBorder="1"/>
    <xf numFmtId="3" fontId="34" fillId="0" borderId="0" xfId="0" applyNumberFormat="1" applyFont="1" applyBorder="1"/>
    <xf numFmtId="0" fontId="33" fillId="0" borderId="0" xfId="0" applyFont="1" applyBorder="1"/>
    <xf numFmtId="3" fontId="33" fillId="0" borderId="0" xfId="0" applyNumberFormat="1" applyFont="1" applyBorder="1"/>
    <xf numFmtId="3" fontId="33" fillId="0" borderId="0" xfId="0" applyNumberFormat="1" applyFont="1" applyAlignment="1"/>
    <xf numFmtId="3" fontId="33" fillId="0" borderId="0" xfId="0" applyNumberFormat="1" applyFont="1" applyBorder="1" applyAlignment="1"/>
    <xf numFmtId="0" fontId="33" fillId="0" borderId="0" xfId="0" applyFont="1"/>
    <xf numFmtId="0" fontId="34" fillId="0" borderId="0" xfId="0" applyFont="1"/>
    <xf numFmtId="0" fontId="35" fillId="0" borderId="0" xfId="0" applyFont="1" applyBorder="1"/>
    <xf numFmtId="3" fontId="34" fillId="2" borderId="0" xfId="0" applyNumberFormat="1" applyFont="1" applyFill="1" applyBorder="1" applyProtection="1">
      <protection locked="0"/>
    </xf>
    <xf numFmtId="3" fontId="33" fillId="2" borderId="0" xfId="0" applyNumberFormat="1" applyFont="1" applyFill="1" applyBorder="1" applyAlignment="1" applyProtection="1">
      <protection locked="0"/>
    </xf>
    <xf numFmtId="0" fontId="35" fillId="0" borderId="0" xfId="0" applyFont="1" applyFill="1" applyBorder="1"/>
    <xf numFmtId="3" fontId="34" fillId="0" borderId="0" xfId="0" applyNumberFormat="1" applyFont="1"/>
    <xf numFmtId="3" fontId="33" fillId="0" borderId="0" xfId="0" applyNumberFormat="1" applyFont="1"/>
    <xf numFmtId="0" fontId="33" fillId="5" borderId="3" xfId="0" applyFont="1" applyFill="1" applyBorder="1"/>
    <xf numFmtId="0" fontId="34" fillId="5" borderId="3" xfId="0" applyFont="1" applyFill="1" applyBorder="1"/>
    <xf numFmtId="3" fontId="33" fillId="0" borderId="3" xfId="0" applyNumberFormat="1" applyFont="1" applyBorder="1"/>
    <xf numFmtId="3" fontId="33" fillId="0" borderId="3" xfId="0" applyNumberFormat="1" applyFont="1" applyBorder="1" applyAlignment="1"/>
    <xf numFmtId="3" fontId="33" fillId="0" borderId="4" xfId="0" applyNumberFormat="1" applyFont="1" applyBorder="1"/>
    <xf numFmtId="3" fontId="15" fillId="0" borderId="0" xfId="0" applyNumberFormat="1" applyFont="1"/>
    <xf numFmtId="3" fontId="15" fillId="0" borderId="0" xfId="0" applyNumberFormat="1" applyFont="1" applyAlignment="1"/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/>
    </xf>
    <xf numFmtId="0" fontId="25" fillId="0" borderId="3" xfId="0" applyFont="1" applyFill="1" applyBorder="1" applyAlignment="1">
      <alignment horizontal="center"/>
    </xf>
    <xf numFmtId="0" fontId="25" fillId="0" borderId="7" xfId="0" applyFont="1" applyFill="1" applyBorder="1" applyAlignment="1">
      <alignment horizontal="center"/>
    </xf>
    <xf numFmtId="0" fontId="25" fillId="0" borderId="22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23" xfId="0" applyFont="1" applyFill="1" applyBorder="1" applyAlignment="1">
      <alignment horizontal="center"/>
    </xf>
    <xf numFmtId="0" fontId="25" fillId="0" borderId="23" xfId="0" applyFont="1" applyBorder="1"/>
    <xf numFmtId="0" fontId="15" fillId="0" borderId="7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25" fillId="0" borderId="32" xfId="0" applyFont="1" applyFill="1" applyBorder="1" applyAlignment="1">
      <alignment horizontal="center"/>
    </xf>
    <xf numFmtId="0" fontId="25" fillId="0" borderId="32" xfId="0" applyFont="1" applyFill="1" applyBorder="1"/>
    <xf numFmtId="0" fontId="25" fillId="0" borderId="1" xfId="0" applyFont="1" applyBorder="1"/>
    <xf numFmtId="0" fontId="15" fillId="0" borderId="33" xfId="0" applyFont="1" applyFill="1" applyBorder="1" applyAlignment="1">
      <alignment horizontal="left"/>
    </xf>
    <xf numFmtId="3" fontId="15" fillId="0" borderId="33" xfId="0" applyNumberFormat="1" applyFont="1" applyFill="1" applyBorder="1" applyAlignment="1">
      <alignment horizontal="right"/>
    </xf>
    <xf numFmtId="3" fontId="15" fillId="0" borderId="39" xfId="0" applyNumberFormat="1" applyFont="1" applyFill="1" applyBorder="1" applyAlignment="1">
      <alignment horizontal="right"/>
    </xf>
    <xf numFmtId="3" fontId="15" fillId="0" borderId="16" xfId="0" applyNumberFormat="1" applyFont="1" applyFill="1" applyBorder="1" applyAlignment="1">
      <alignment horizontal="right"/>
    </xf>
    <xf numFmtId="3" fontId="15" fillId="0" borderId="15" xfId="0" applyNumberFormat="1" applyFont="1" applyFill="1" applyBorder="1" applyAlignment="1">
      <alignment horizontal="right"/>
    </xf>
    <xf numFmtId="10" fontId="15" fillId="0" borderId="33" xfId="0" applyNumberFormat="1" applyFont="1" applyFill="1" applyBorder="1" applyAlignment="1">
      <alignment horizontal="right" vertical="center"/>
    </xf>
    <xf numFmtId="3" fontId="15" fillId="0" borderId="33" xfId="0" applyNumberFormat="1" applyFont="1" applyFill="1" applyBorder="1" applyAlignment="1">
      <alignment horizontal="right" vertical="center"/>
    </xf>
    <xf numFmtId="3" fontId="15" fillId="0" borderId="16" xfId="0" applyNumberFormat="1" applyFont="1" applyFill="1" applyBorder="1" applyAlignment="1">
      <alignment horizontal="right" vertical="center"/>
    </xf>
    <xf numFmtId="3" fontId="15" fillId="0" borderId="15" xfId="0" applyNumberFormat="1" applyFont="1" applyFill="1" applyBorder="1" applyAlignment="1">
      <alignment horizontal="right" vertical="center"/>
    </xf>
    <xf numFmtId="0" fontId="25" fillId="0" borderId="33" xfId="0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horizontal="right" vertical="center"/>
    </xf>
    <xf numFmtId="3" fontId="25" fillId="0" borderId="39" xfId="0" applyNumberFormat="1" applyFont="1" applyFill="1" applyBorder="1" applyAlignment="1">
      <alignment horizontal="right" vertical="center"/>
    </xf>
    <xf numFmtId="3" fontId="25" fillId="2" borderId="47" xfId="0" applyNumberFormat="1" applyFont="1" applyFill="1" applyBorder="1" applyAlignment="1">
      <alignment horizontal="right" vertical="center"/>
    </xf>
    <xf numFmtId="3" fontId="25" fillId="0" borderId="15" xfId="0" applyNumberFormat="1" applyFont="1" applyFill="1" applyBorder="1" applyAlignment="1">
      <alignment horizontal="right" vertical="center"/>
    </xf>
    <xf numFmtId="10" fontId="25" fillId="0" borderId="33" xfId="0" applyNumberFormat="1" applyFont="1" applyFill="1" applyBorder="1" applyAlignment="1">
      <alignment horizontal="right" vertical="center"/>
    </xf>
    <xf numFmtId="3" fontId="25" fillId="0" borderId="40" xfId="0" applyNumberFormat="1" applyFont="1" applyFill="1" applyBorder="1" applyAlignment="1">
      <alignment horizontal="right" vertical="center"/>
    </xf>
    <xf numFmtId="3" fontId="25" fillId="2" borderId="39" xfId="0" applyNumberFormat="1" applyFont="1" applyFill="1" applyBorder="1" applyAlignment="1">
      <alignment horizontal="right" vertical="center"/>
    </xf>
    <xf numFmtId="3" fontId="25" fillId="0" borderId="41" xfId="0" applyNumberFormat="1" applyFont="1" applyFill="1" applyBorder="1" applyAlignment="1">
      <alignment horizontal="right" vertical="center"/>
    </xf>
    <xf numFmtId="0" fontId="25" fillId="0" borderId="8" xfId="0" applyFont="1" applyFill="1" applyBorder="1"/>
    <xf numFmtId="3" fontId="25" fillId="0" borderId="8" xfId="0" applyNumberFormat="1" applyFont="1" applyFill="1" applyBorder="1" applyAlignment="1">
      <alignment horizontal="right"/>
    </xf>
    <xf numFmtId="3" fontId="25" fillId="0" borderId="44" xfId="0" applyNumberFormat="1" applyFont="1" applyFill="1" applyBorder="1" applyAlignment="1">
      <alignment horizontal="right" vertical="center"/>
    </xf>
    <xf numFmtId="3" fontId="25" fillId="2" borderId="30" xfId="0" applyNumberFormat="1" applyFont="1" applyFill="1" applyBorder="1" applyAlignment="1">
      <alignment horizontal="right" vertical="center"/>
    </xf>
    <xf numFmtId="3" fontId="25" fillId="0" borderId="8" xfId="0" applyNumberFormat="1" applyFont="1" applyFill="1" applyBorder="1" applyAlignment="1">
      <alignment horizontal="right" vertical="center"/>
    </xf>
    <xf numFmtId="3" fontId="25" fillId="0" borderId="1" xfId="0" applyNumberFormat="1" applyFont="1" applyFill="1" applyBorder="1" applyAlignment="1">
      <alignment horizontal="right" vertical="center"/>
    </xf>
    <xf numFmtId="10" fontId="25" fillId="0" borderId="8" xfId="0" applyNumberFormat="1" applyFont="1" applyFill="1" applyBorder="1" applyAlignment="1">
      <alignment horizontal="right" vertical="center"/>
    </xf>
    <xf numFmtId="3" fontId="25" fillId="0" borderId="43" xfId="0" applyNumberFormat="1" applyFont="1" applyFill="1" applyBorder="1" applyAlignment="1">
      <alignment horizontal="right" vertical="center"/>
    </xf>
    <xf numFmtId="3" fontId="25" fillId="2" borderId="44" xfId="0" applyNumberFormat="1" applyFont="1" applyFill="1" applyBorder="1" applyAlignment="1">
      <alignment horizontal="right" vertical="center"/>
    </xf>
    <xf numFmtId="3" fontId="25" fillId="0" borderId="46" xfId="0" applyNumberFormat="1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left"/>
    </xf>
    <xf numFmtId="3" fontId="15" fillId="0" borderId="8" xfId="0" applyNumberFormat="1" applyFont="1" applyFill="1" applyBorder="1" applyAlignment="1">
      <alignment horizontal="right"/>
    </xf>
    <xf numFmtId="3" fontId="15" fillId="0" borderId="44" xfId="0" applyNumberFormat="1" applyFont="1" applyFill="1" applyBorder="1" applyAlignment="1">
      <alignment horizontal="right"/>
    </xf>
    <xf numFmtId="3" fontId="15" fillId="0" borderId="28" xfId="0" applyNumberFormat="1" applyFont="1" applyFill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10" fontId="15" fillId="0" borderId="8" xfId="0" applyNumberFormat="1" applyFont="1" applyFill="1" applyBorder="1" applyAlignment="1">
      <alignment horizontal="right" vertical="center"/>
    </xf>
    <xf numFmtId="3" fontId="15" fillId="0" borderId="3" xfId="0" applyNumberFormat="1" applyFont="1" applyFill="1" applyBorder="1" applyAlignment="1">
      <alignment horizontal="right" vertical="center"/>
    </xf>
    <xf numFmtId="3" fontId="15" fillId="0" borderId="2" xfId="0" applyNumberFormat="1" applyFont="1" applyFill="1" applyBorder="1" applyAlignment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left"/>
    </xf>
    <xf numFmtId="3" fontId="15" fillId="0" borderId="3" xfId="0" applyNumberFormat="1" applyFont="1" applyFill="1" applyBorder="1" applyAlignment="1">
      <alignment horizontal="right"/>
    </xf>
    <xf numFmtId="3" fontId="15" fillId="0" borderId="35" xfId="0" applyNumberFormat="1" applyFont="1" applyFill="1" applyBorder="1" applyAlignment="1">
      <alignment horizontal="right"/>
    </xf>
    <xf numFmtId="3" fontId="15" fillId="0" borderId="2" xfId="0" applyNumberFormat="1" applyFont="1" applyFill="1" applyBorder="1" applyAlignment="1">
      <alignment horizontal="right"/>
    </xf>
    <xf numFmtId="3" fontId="15" fillId="0" borderId="32" xfId="0" applyNumberFormat="1" applyFont="1" applyFill="1" applyBorder="1" applyAlignment="1">
      <alignment horizontal="right"/>
    </xf>
    <xf numFmtId="10" fontId="15" fillId="0" borderId="3" xfId="0" applyNumberFormat="1" applyFont="1" applyFill="1" applyBorder="1" applyAlignment="1">
      <alignment horizontal="right" vertical="center"/>
    </xf>
    <xf numFmtId="3" fontId="15" fillId="0" borderId="32" xfId="0" applyNumberFormat="1" applyFont="1" applyFill="1" applyBorder="1" applyAlignment="1">
      <alignment horizontal="right" vertical="center"/>
    </xf>
    <xf numFmtId="0" fontId="25" fillId="0" borderId="7" xfId="0" applyFont="1" applyFill="1" applyBorder="1"/>
    <xf numFmtId="3" fontId="25" fillId="0" borderId="7" xfId="0" applyNumberFormat="1" applyFont="1" applyFill="1" applyBorder="1" applyAlignment="1">
      <alignment horizontal="right"/>
    </xf>
    <xf numFmtId="3" fontId="25" fillId="0" borderId="42" xfId="0" applyNumberFormat="1" applyFont="1" applyFill="1" applyBorder="1" applyAlignment="1">
      <alignment horizontal="right" vertical="center"/>
    </xf>
    <xf numFmtId="3" fontId="25" fillId="0" borderId="7" xfId="0" applyNumberFormat="1" applyFont="1" applyFill="1" applyBorder="1" applyAlignment="1">
      <alignment horizontal="right" vertical="center"/>
    </xf>
    <xf numFmtId="3" fontId="25" fillId="0" borderId="0" xfId="0" applyNumberFormat="1" applyFont="1" applyFill="1" applyBorder="1" applyAlignment="1">
      <alignment horizontal="right" vertical="center"/>
    </xf>
    <xf numFmtId="10" fontId="25" fillId="0" borderId="7" xfId="0" applyNumberFormat="1" applyFont="1" applyFill="1" applyBorder="1" applyAlignment="1">
      <alignment horizontal="right" vertical="center"/>
    </xf>
    <xf numFmtId="3" fontId="25" fillId="0" borderId="19" xfId="0" applyNumberFormat="1" applyFont="1" applyFill="1" applyBorder="1" applyAlignment="1">
      <alignment horizontal="right" vertical="center"/>
    </xf>
    <xf numFmtId="3" fontId="25" fillId="2" borderId="42" xfId="0" applyNumberFormat="1" applyFont="1" applyFill="1" applyBorder="1"/>
    <xf numFmtId="3" fontId="25" fillId="0" borderId="45" xfId="0" applyNumberFormat="1" applyFont="1" applyFill="1" applyBorder="1" applyAlignment="1">
      <alignment horizontal="right" vertical="center"/>
    </xf>
    <xf numFmtId="3" fontId="25" fillId="2" borderId="42" xfId="0" applyNumberFormat="1" applyFont="1" applyFill="1" applyBorder="1" applyAlignment="1">
      <alignment horizontal="right" vertical="center"/>
    </xf>
    <xf numFmtId="0" fontId="15" fillId="0" borderId="3" xfId="0" applyFont="1" applyFill="1" applyBorder="1"/>
    <xf numFmtId="3" fontId="15" fillId="0" borderId="35" xfId="0" applyNumberFormat="1" applyFont="1" applyFill="1" applyBorder="1" applyAlignment="1">
      <alignment horizontal="right" vertical="center"/>
    </xf>
    <xf numFmtId="3" fontId="15" fillId="0" borderId="48" xfId="0" applyNumberFormat="1" applyFont="1" applyFill="1" applyBorder="1" applyAlignment="1">
      <alignment horizontal="right" vertical="center"/>
    </xf>
    <xf numFmtId="0" fontId="25" fillId="0" borderId="7" xfId="0" applyFont="1" applyFill="1" applyBorder="1" applyAlignment="1">
      <alignment horizontal="left"/>
    </xf>
    <xf numFmtId="3" fontId="25" fillId="2" borderId="15" xfId="0" applyNumberFormat="1" applyFont="1" applyFill="1" applyBorder="1"/>
    <xf numFmtId="3" fontId="25" fillId="2" borderId="21" xfId="0" applyNumberFormat="1" applyFont="1" applyFill="1" applyBorder="1"/>
    <xf numFmtId="0" fontId="25" fillId="0" borderId="8" xfId="0" applyFont="1" applyFill="1" applyBorder="1" applyAlignment="1">
      <alignment horizontal="left"/>
    </xf>
    <xf numFmtId="3" fontId="25" fillId="0" borderId="44" xfId="0" applyNumberFormat="1" applyFont="1" applyFill="1" applyBorder="1"/>
    <xf numFmtId="3" fontId="25" fillId="2" borderId="1" xfId="0" applyNumberFormat="1" applyFont="1" applyFill="1" applyBorder="1"/>
    <xf numFmtId="3" fontId="25" fillId="0" borderId="8" xfId="0" applyNumberFormat="1" applyFont="1" applyFill="1" applyBorder="1"/>
    <xf numFmtId="3" fontId="25" fillId="0" borderId="1" xfId="0" applyNumberFormat="1" applyFont="1" applyFill="1" applyBorder="1"/>
    <xf numFmtId="0" fontId="15" fillId="0" borderId="2" xfId="0" applyFont="1" applyFill="1" applyBorder="1" applyAlignment="1">
      <alignment horizontal="center" vertical="center"/>
    </xf>
    <xf numFmtId="3" fontId="15" fillId="0" borderId="4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center"/>
    </xf>
    <xf numFmtId="3" fontId="25" fillId="0" borderId="22" xfId="0" applyNumberFormat="1" applyFont="1" applyFill="1" applyBorder="1" applyAlignment="1">
      <alignment horizontal="right" vertical="center"/>
    </xf>
    <xf numFmtId="3" fontId="25" fillId="0" borderId="23" xfId="0" applyNumberFormat="1" applyFont="1" applyFill="1" applyBorder="1" applyAlignment="1">
      <alignment horizontal="right" vertical="center"/>
    </xf>
    <xf numFmtId="10" fontId="25" fillId="0" borderId="0" xfId="0" applyNumberFormat="1" applyFont="1" applyFill="1" applyBorder="1" applyAlignment="1">
      <alignment horizontal="right" vertical="center"/>
    </xf>
    <xf numFmtId="3" fontId="25" fillId="0" borderId="0" xfId="0" applyNumberFormat="1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2" xfId="0" applyFont="1" applyFill="1" applyBorder="1"/>
    <xf numFmtId="10" fontId="15" fillId="0" borderId="33" xfId="0" applyNumberFormat="1" applyFont="1" applyFill="1" applyBorder="1"/>
    <xf numFmtId="10" fontId="15" fillId="0" borderId="3" xfId="0" applyNumberFormat="1" applyFont="1" applyFill="1" applyBorder="1"/>
    <xf numFmtId="0" fontId="15" fillId="0" borderId="16" xfId="0" applyFont="1" applyFill="1" applyBorder="1"/>
    <xf numFmtId="3" fontId="15" fillId="0" borderId="3" xfId="0" applyNumberFormat="1" applyFont="1" applyFill="1" applyBorder="1"/>
    <xf numFmtId="10" fontId="15" fillId="0" borderId="7" xfId="0" applyNumberFormat="1" applyFont="1" applyFill="1" applyBorder="1"/>
    <xf numFmtId="3" fontId="15" fillId="0" borderId="7" xfId="0" applyNumberFormat="1" applyFont="1" applyFill="1" applyBorder="1" applyAlignment="1">
      <alignment horizontal="right" vertical="center"/>
    </xf>
    <xf numFmtId="10" fontId="15" fillId="0" borderId="7" xfId="0" applyNumberFormat="1" applyFont="1" applyFill="1" applyBorder="1" applyAlignment="1">
      <alignment horizontal="right" vertical="center"/>
    </xf>
    <xf numFmtId="0" fontId="25" fillId="0" borderId="33" xfId="0" applyFont="1" applyFill="1" applyBorder="1"/>
    <xf numFmtId="3" fontId="25" fillId="2" borderId="33" xfId="0" applyNumberFormat="1" applyFont="1" applyFill="1" applyBorder="1"/>
    <xf numFmtId="3" fontId="25" fillId="2" borderId="33" xfId="0" applyNumberFormat="1" applyFont="1" applyFill="1" applyBorder="1" applyAlignment="1">
      <alignment horizontal="right" vertical="center"/>
    </xf>
    <xf numFmtId="3" fontId="25" fillId="2" borderId="7" xfId="0" applyNumberFormat="1" applyFont="1" applyFill="1" applyBorder="1"/>
    <xf numFmtId="3" fontId="25" fillId="2" borderId="7" xfId="0" applyNumberFormat="1" applyFont="1" applyFill="1" applyBorder="1" applyAlignment="1">
      <alignment horizontal="right" vertical="center"/>
    </xf>
    <xf numFmtId="3" fontId="25" fillId="2" borderId="8" xfId="0" applyNumberFormat="1" applyFont="1" applyFill="1" applyBorder="1"/>
    <xf numFmtId="3" fontId="25" fillId="2" borderId="8" xfId="0" applyNumberFormat="1" applyFont="1" applyFill="1" applyBorder="1" applyAlignment="1">
      <alignment horizontal="right" vertical="center"/>
    </xf>
    <xf numFmtId="0" fontId="25" fillId="0" borderId="0" xfId="0" applyFont="1" applyFill="1"/>
    <xf numFmtId="0" fontId="24" fillId="0" borderId="0" xfId="0" applyFont="1" applyFill="1" applyBorder="1" applyAlignment="1">
      <alignment horizontal="center" vertical="center"/>
    </xf>
    <xf numFmtId="3" fontId="23" fillId="0" borderId="0" xfId="0" applyNumberFormat="1" applyFont="1" applyFill="1"/>
    <xf numFmtId="3" fontId="25" fillId="0" borderId="0" xfId="0" applyNumberFormat="1" applyFont="1" applyFill="1"/>
    <xf numFmtId="0" fontId="23" fillId="0" borderId="0" xfId="0" applyFont="1" applyFill="1"/>
    <xf numFmtId="0" fontId="24" fillId="0" borderId="3" xfId="0" applyFont="1" applyFill="1" applyBorder="1"/>
    <xf numFmtId="3" fontId="24" fillId="0" borderId="37" xfId="0" applyNumberFormat="1" applyFont="1" applyFill="1" applyBorder="1"/>
    <xf numFmtId="3" fontId="24" fillId="0" borderId="35" xfId="0" applyNumberFormat="1" applyFont="1" applyFill="1" applyBorder="1"/>
    <xf numFmtId="3" fontId="15" fillId="0" borderId="37" xfId="0" applyNumberFormat="1" applyFont="1" applyFill="1" applyBorder="1"/>
    <xf numFmtId="3" fontId="15" fillId="0" borderId="35" xfId="0" applyNumberFormat="1" applyFont="1" applyFill="1" applyBorder="1"/>
    <xf numFmtId="3" fontId="15" fillId="0" borderId="4" xfId="0" applyNumberFormat="1" applyFont="1" applyFill="1" applyBorder="1"/>
    <xf numFmtId="3" fontId="15" fillId="0" borderId="32" xfId="0" applyNumberFormat="1" applyFont="1" applyFill="1" applyBorder="1"/>
    <xf numFmtId="3" fontId="15" fillId="0" borderId="37" xfId="0" applyNumberFormat="1" applyFont="1" applyFill="1" applyBorder="1" applyAlignment="1">
      <alignment horizontal="right"/>
    </xf>
    <xf numFmtId="3" fontId="15" fillId="0" borderId="36" xfId="0" applyNumberFormat="1" applyFont="1" applyFill="1" applyBorder="1" applyAlignment="1">
      <alignment horizontal="right"/>
    </xf>
    <xf numFmtId="3" fontId="15" fillId="0" borderId="36" xfId="0" applyNumberFormat="1" applyFont="1" applyFill="1" applyBorder="1"/>
    <xf numFmtId="3" fontId="15" fillId="0" borderId="4" xfId="0" applyNumberFormat="1" applyFont="1" applyFill="1" applyBorder="1" applyAlignment="1">
      <alignment horizontal="right"/>
    </xf>
    <xf numFmtId="0" fontId="23" fillId="0" borderId="33" xfId="0" applyFont="1" applyFill="1" applyBorder="1"/>
    <xf numFmtId="3" fontId="23" fillId="0" borderId="40" xfId="0" applyNumberFormat="1" applyFont="1" applyFill="1" applyBorder="1" applyAlignment="1">
      <alignment horizontal="right"/>
    </xf>
    <xf numFmtId="3" fontId="23" fillId="0" borderId="39" xfId="0" applyNumberFormat="1" applyFont="1" applyFill="1" applyBorder="1" applyAlignment="1">
      <alignment horizontal="right"/>
    </xf>
    <xf numFmtId="3" fontId="25" fillId="2" borderId="17" xfId="0" applyNumberFormat="1" applyFont="1" applyFill="1" applyBorder="1" applyAlignment="1">
      <alignment horizontal="right"/>
    </xf>
    <xf numFmtId="3" fontId="25" fillId="0" borderId="39" xfId="0" applyNumberFormat="1" applyFont="1" applyFill="1" applyBorder="1" applyAlignment="1">
      <alignment horizontal="right"/>
    </xf>
    <xf numFmtId="3" fontId="25" fillId="0" borderId="18" xfId="0" applyNumberFormat="1" applyFont="1" applyFill="1" applyBorder="1" applyAlignment="1">
      <alignment horizontal="right"/>
    </xf>
    <xf numFmtId="3" fontId="25" fillId="0" borderId="15" xfId="0" applyNumberFormat="1" applyFont="1" applyFill="1" applyBorder="1" applyAlignment="1">
      <alignment horizontal="right"/>
    </xf>
    <xf numFmtId="3" fontId="25" fillId="0" borderId="40" xfId="0" applyNumberFormat="1" applyFont="1" applyFill="1" applyBorder="1" applyAlignment="1">
      <alignment horizontal="right"/>
    </xf>
    <xf numFmtId="3" fontId="25" fillId="0" borderId="17" xfId="0" applyNumberFormat="1" applyFont="1" applyFill="1" applyBorder="1" applyAlignment="1">
      <alignment horizontal="right"/>
    </xf>
    <xf numFmtId="3" fontId="25" fillId="2" borderId="39" xfId="0" applyNumberFormat="1" applyFont="1" applyFill="1" applyBorder="1" applyProtection="1">
      <protection locked="0"/>
    </xf>
    <xf numFmtId="3" fontId="25" fillId="0" borderId="39" xfId="0" applyNumberFormat="1" applyFont="1" applyFill="1" applyBorder="1"/>
    <xf numFmtId="3" fontId="25" fillId="0" borderId="18" xfId="0" applyNumberFormat="1" applyFont="1" applyFill="1" applyBorder="1"/>
    <xf numFmtId="3" fontId="25" fillId="0" borderId="15" xfId="0" applyNumberFormat="1" applyFont="1" applyFill="1" applyBorder="1"/>
    <xf numFmtId="3" fontId="25" fillId="2" borderId="39" xfId="0" applyNumberFormat="1" applyFont="1" applyFill="1" applyBorder="1"/>
    <xf numFmtId="3" fontId="23" fillId="0" borderId="23" xfId="0" applyNumberFormat="1" applyFont="1" applyFill="1" applyBorder="1"/>
    <xf numFmtId="0" fontId="23" fillId="0" borderId="7" xfId="0" applyFont="1" applyFill="1" applyBorder="1"/>
    <xf numFmtId="3" fontId="23" fillId="0" borderId="19" xfId="0" applyNumberFormat="1" applyFont="1" applyFill="1" applyBorder="1" applyAlignment="1">
      <alignment horizontal="right"/>
    </xf>
    <xf numFmtId="3" fontId="23" fillId="0" borderId="42" xfId="0" applyNumberFormat="1" applyFont="1" applyFill="1" applyBorder="1" applyAlignment="1">
      <alignment horizontal="right"/>
    </xf>
    <xf numFmtId="3" fontId="25" fillId="2" borderId="20" xfId="0" applyNumberFormat="1" applyFont="1" applyFill="1" applyBorder="1" applyAlignment="1">
      <alignment horizontal="right"/>
    </xf>
    <xf numFmtId="3" fontId="25" fillId="0" borderId="42" xfId="0" applyNumberFormat="1" applyFont="1" applyFill="1" applyBorder="1" applyAlignment="1">
      <alignment horizontal="right"/>
    </xf>
    <xf numFmtId="3" fontId="25" fillId="0" borderId="23" xfId="0" applyNumberFormat="1" applyFont="1" applyFill="1" applyBorder="1" applyAlignment="1">
      <alignment horizontal="right"/>
    </xf>
    <xf numFmtId="3" fontId="25" fillId="0" borderId="0" xfId="0" applyNumberFormat="1" applyFont="1" applyFill="1" applyBorder="1" applyAlignment="1">
      <alignment horizontal="right"/>
    </xf>
    <xf numFmtId="3" fontId="25" fillId="0" borderId="19" xfId="0" applyNumberFormat="1" applyFont="1" applyFill="1" applyBorder="1" applyAlignment="1">
      <alignment horizontal="right"/>
    </xf>
    <xf numFmtId="3" fontId="25" fillId="0" borderId="20" xfId="0" applyNumberFormat="1" applyFont="1" applyFill="1" applyBorder="1" applyAlignment="1">
      <alignment horizontal="right"/>
    </xf>
    <xf numFmtId="3" fontId="25" fillId="2" borderId="42" xfId="0" applyNumberFormat="1" applyFont="1" applyFill="1" applyBorder="1" applyProtection="1">
      <protection locked="0"/>
    </xf>
    <xf numFmtId="3" fontId="25" fillId="0" borderId="42" xfId="0" applyNumberFormat="1" applyFont="1" applyFill="1" applyBorder="1"/>
    <xf numFmtId="3" fontId="25" fillId="0" borderId="23" xfId="0" applyNumberFormat="1" applyFont="1" applyFill="1" applyBorder="1"/>
    <xf numFmtId="3" fontId="24" fillId="0" borderId="37" xfId="0" applyNumberFormat="1" applyFont="1" applyFill="1" applyBorder="1" applyAlignment="1">
      <alignment horizontal="right"/>
    </xf>
    <xf numFmtId="3" fontId="24" fillId="0" borderId="35" xfId="0" applyNumberFormat="1" applyFont="1" applyFill="1" applyBorder="1" applyAlignment="1">
      <alignment horizontal="right"/>
    </xf>
    <xf numFmtId="3" fontId="24" fillId="0" borderId="3" xfId="0" applyNumberFormat="1" applyFont="1" applyFill="1" applyBorder="1" applyAlignment="1">
      <alignment horizontal="right"/>
    </xf>
    <xf numFmtId="10" fontId="15" fillId="0" borderId="3" xfId="0" applyNumberFormat="1" applyFont="1" applyFill="1" applyBorder="1" applyAlignment="1">
      <alignment horizontal="right"/>
    </xf>
    <xf numFmtId="3" fontId="25" fillId="0" borderId="33" xfId="0" applyNumberFormat="1" applyFont="1" applyFill="1" applyBorder="1" applyAlignment="1">
      <alignment horizontal="right"/>
    </xf>
    <xf numFmtId="3" fontId="25" fillId="2" borderId="7" xfId="0" applyNumberFormat="1" applyFont="1" applyFill="1" applyBorder="1" applyAlignment="1">
      <alignment horizontal="right"/>
    </xf>
    <xf numFmtId="10" fontId="25" fillId="0" borderId="7" xfId="0" applyNumberFormat="1" applyFont="1" applyFill="1" applyBorder="1" applyAlignment="1">
      <alignment horizontal="right"/>
    </xf>
    <xf numFmtId="3" fontId="25" fillId="2" borderId="7" xfId="0" applyNumberFormat="1" applyFont="1" applyFill="1" applyBorder="1" applyProtection="1">
      <protection locked="0"/>
    </xf>
    <xf numFmtId="3" fontId="25" fillId="0" borderId="7" xfId="0" applyNumberFormat="1" applyFont="1" applyFill="1" applyBorder="1"/>
    <xf numFmtId="10" fontId="25" fillId="0" borderId="7" xfId="0" applyNumberFormat="1" applyFont="1" applyFill="1" applyBorder="1"/>
    <xf numFmtId="3" fontId="23" fillId="0" borderId="7" xfId="0" applyNumberFormat="1" applyFont="1" applyFill="1" applyBorder="1" applyAlignment="1">
      <alignment horizontal="right"/>
    </xf>
    <xf numFmtId="3" fontId="15" fillId="2" borderId="3" xfId="0" applyNumberFormat="1" applyFont="1" applyFill="1" applyBorder="1" applyAlignment="1">
      <alignment horizontal="right"/>
    </xf>
    <xf numFmtId="3" fontId="15" fillId="2" borderId="3" xfId="0" applyNumberFormat="1" applyFont="1" applyFill="1" applyBorder="1"/>
    <xf numFmtId="3" fontId="24" fillId="0" borderId="3" xfId="0" applyNumberFormat="1" applyFont="1" applyBorder="1"/>
    <xf numFmtId="0" fontId="24" fillId="0" borderId="33" xfId="0" applyFont="1" applyFill="1" applyBorder="1" applyAlignment="1">
      <alignment horizontal="center" vertical="center"/>
    </xf>
    <xf numFmtId="3" fontId="24" fillId="0" borderId="3" xfId="0" applyNumberFormat="1" applyFont="1" applyFill="1" applyBorder="1" applyAlignment="1">
      <alignment horizontal="right" vertical="center"/>
    </xf>
    <xf numFmtId="10" fontId="24" fillId="0" borderId="3" xfId="0" applyNumberFormat="1" applyFont="1" applyFill="1" applyBorder="1" applyAlignment="1">
      <alignment horizontal="right" vertical="center"/>
    </xf>
    <xf numFmtId="0" fontId="24" fillId="0" borderId="33" xfId="0" applyFont="1" applyFill="1" applyBorder="1" applyAlignment="1">
      <alignment horizontal="left" indent="2"/>
    </xf>
    <xf numFmtId="0" fontId="24" fillId="0" borderId="7" xfId="0" applyFont="1" applyFill="1" applyBorder="1" applyAlignment="1">
      <alignment horizontal="left" indent="2"/>
    </xf>
    <xf numFmtId="0" fontId="24" fillId="0" borderId="8" xfId="0" applyFont="1" applyFill="1" applyBorder="1" applyAlignment="1">
      <alignment horizontal="left" indent="2"/>
    </xf>
    <xf numFmtId="3" fontId="23" fillId="0" borderId="8" xfId="0" applyNumberFormat="1" applyFont="1" applyFill="1" applyBorder="1" applyAlignment="1">
      <alignment horizontal="right"/>
    </xf>
    <xf numFmtId="3" fontId="25" fillId="2" borderId="8" xfId="0" applyNumberFormat="1" applyFont="1" applyFill="1" applyBorder="1" applyAlignment="1">
      <alignment horizontal="right"/>
    </xf>
    <xf numFmtId="10" fontId="25" fillId="0" borderId="8" xfId="0" applyNumberFormat="1" applyFont="1" applyFill="1" applyBorder="1" applyAlignment="1">
      <alignment horizontal="right"/>
    </xf>
    <xf numFmtId="0" fontId="24" fillId="0" borderId="3" xfId="0" applyFont="1" applyFill="1" applyBorder="1" applyAlignment="1">
      <alignment horizontal="center" vertical="center"/>
    </xf>
    <xf numFmtId="10" fontId="15" fillId="0" borderId="3" xfId="0" applyNumberFormat="1" applyFont="1" applyFill="1" applyBorder="1" applyAlignment="1">
      <alignment vertical="center"/>
    </xf>
    <xf numFmtId="10" fontId="24" fillId="0" borderId="3" xfId="0" applyNumberFormat="1" applyFont="1" applyFill="1" applyBorder="1" applyAlignment="1">
      <alignment vertical="center"/>
    </xf>
    <xf numFmtId="0" fontId="27" fillId="0" borderId="7" xfId="0" applyFont="1" applyFill="1" applyBorder="1" applyAlignment="1">
      <alignment vertical="center"/>
    </xf>
    <xf numFmtId="3" fontId="27" fillId="0" borderId="33" xfId="0" applyNumberFormat="1" applyFont="1" applyFill="1" applyBorder="1" applyAlignment="1">
      <alignment vertical="center"/>
    </xf>
    <xf numFmtId="3" fontId="34" fillId="2" borderId="3" xfId="0" applyNumberFormat="1" applyFont="1" applyFill="1" applyBorder="1" applyAlignment="1">
      <alignment vertical="center"/>
    </xf>
    <xf numFmtId="3" fontId="34" fillId="0" borderId="33" xfId="0" applyNumberFormat="1" applyFont="1" applyFill="1" applyBorder="1" applyAlignment="1">
      <alignment vertical="center"/>
    </xf>
    <xf numFmtId="10" fontId="34" fillId="0" borderId="7" xfId="0" applyNumberFormat="1" applyFont="1" applyFill="1" applyBorder="1" applyAlignment="1">
      <alignment vertical="center"/>
    </xf>
    <xf numFmtId="3" fontId="34" fillId="0" borderId="7" xfId="0" applyNumberFormat="1" applyFont="1" applyFill="1" applyBorder="1" applyAlignment="1">
      <alignment vertical="center"/>
    </xf>
    <xf numFmtId="10" fontId="34" fillId="0" borderId="34" xfId="0" applyNumberFormat="1" applyFont="1" applyFill="1" applyBorder="1" applyAlignment="1">
      <alignment vertical="center"/>
    </xf>
    <xf numFmtId="3" fontId="34" fillId="0" borderId="34" xfId="0" applyNumberFormat="1" applyFont="1" applyFill="1" applyBorder="1" applyAlignment="1">
      <alignment vertical="center"/>
    </xf>
    <xf numFmtId="0" fontId="27" fillId="0" borderId="3" xfId="0" applyFont="1" applyFill="1" applyBorder="1" applyAlignment="1">
      <alignment vertical="center"/>
    </xf>
    <xf numFmtId="3" fontId="23" fillId="0" borderId="3" xfId="0" applyNumberFormat="1" applyFont="1" applyFill="1" applyBorder="1" applyAlignment="1">
      <alignment vertical="center"/>
    </xf>
    <xf numFmtId="3" fontId="25" fillId="2" borderId="3" xfId="0" applyNumberFormat="1" applyFont="1" applyFill="1" applyBorder="1" applyAlignment="1">
      <alignment vertical="center"/>
    </xf>
    <xf numFmtId="3" fontId="25" fillId="0" borderId="3" xfId="0" applyNumberFormat="1" applyFont="1" applyFill="1" applyBorder="1" applyAlignment="1">
      <alignment vertical="center"/>
    </xf>
    <xf numFmtId="10" fontId="25" fillId="0" borderId="3" xfId="0" applyNumberFormat="1" applyFont="1" applyFill="1" applyBorder="1" applyAlignment="1">
      <alignment vertical="center"/>
    </xf>
    <xf numFmtId="3" fontId="34" fillId="0" borderId="3" xfId="0" applyNumberFormat="1" applyFont="1" applyFill="1" applyBorder="1" applyAlignment="1">
      <alignment vertical="center"/>
    </xf>
    <xf numFmtId="10" fontId="34" fillId="0" borderId="3" xfId="0" applyNumberFormat="1" applyFont="1" applyFill="1" applyBorder="1" applyAlignment="1">
      <alignment vertical="center"/>
    </xf>
    <xf numFmtId="0" fontId="27" fillId="0" borderId="8" xfId="0" applyFont="1" applyFill="1" applyBorder="1" applyAlignment="1">
      <alignment vertical="center"/>
    </xf>
    <xf numFmtId="3" fontId="27" fillId="0" borderId="8" xfId="0" applyNumberFormat="1" applyFont="1" applyFill="1" applyBorder="1" applyAlignment="1">
      <alignment vertical="center"/>
    </xf>
    <xf numFmtId="3" fontId="34" fillId="2" borderId="8" xfId="0" applyNumberFormat="1" applyFont="1" applyFill="1" applyBorder="1" applyAlignment="1">
      <alignment vertical="center"/>
    </xf>
    <xf numFmtId="3" fontId="34" fillId="0" borderId="8" xfId="0" applyNumberFormat="1" applyFont="1" applyFill="1" applyBorder="1" applyAlignment="1">
      <alignment vertical="center"/>
    </xf>
    <xf numFmtId="10" fontId="34" fillId="0" borderId="8" xfId="0" applyNumberFormat="1" applyFont="1" applyFill="1" applyBorder="1" applyAlignment="1">
      <alignment vertical="center"/>
    </xf>
    <xf numFmtId="0" fontId="25" fillId="0" borderId="0" xfId="0" applyFont="1" applyAlignment="1">
      <alignment wrapText="1"/>
    </xf>
    <xf numFmtId="0" fontId="25" fillId="0" borderId="0" xfId="0" applyFont="1" applyFill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4" fillId="0" borderId="0" xfId="0" applyFont="1" applyAlignment="1">
      <alignment horizontal="right"/>
    </xf>
    <xf numFmtId="0" fontId="25" fillId="0" borderId="2" xfId="0" applyFont="1" applyBorder="1"/>
    <xf numFmtId="0" fontId="15" fillId="0" borderId="32" xfId="0" applyFont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wrapText="1"/>
    </xf>
    <xf numFmtId="3" fontId="36" fillId="0" borderId="3" xfId="0" applyNumberFormat="1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/>
    </xf>
    <xf numFmtId="3" fontId="25" fillId="2" borderId="0" xfId="0" applyNumberFormat="1" applyFont="1" applyFill="1" applyProtection="1">
      <protection locked="0"/>
    </xf>
    <xf numFmtId="0" fontId="25" fillId="0" borderId="0" xfId="0" applyFont="1" applyFill="1" applyAlignment="1">
      <alignment wrapText="1"/>
    </xf>
    <xf numFmtId="0" fontId="15" fillId="0" borderId="0" xfId="0" applyFont="1" applyFill="1" applyAlignment="1">
      <alignment horizontal="center"/>
    </xf>
    <xf numFmtId="0" fontId="33" fillId="0" borderId="0" xfId="0" applyFont="1" applyBorder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164" fontId="25" fillId="0" borderId="0" xfId="0" applyNumberFormat="1" applyFont="1" applyFill="1" applyBorder="1" applyAlignment="1">
      <alignment horizontal="center" vertical="center"/>
    </xf>
    <xf numFmtId="3" fontId="25" fillId="0" borderId="0" xfId="0" applyNumberFormat="1" applyFont="1" applyFill="1" applyProtection="1">
      <protection locked="0"/>
    </xf>
    <xf numFmtId="164" fontId="1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 applyProtection="1">
      <alignment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 applyFill="1" applyAlignment="1">
      <alignment horizontal="right"/>
    </xf>
    <xf numFmtId="0" fontId="10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15" fillId="7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/>
    </xf>
    <xf numFmtId="3" fontId="25" fillId="0" borderId="0" xfId="0" applyNumberFormat="1" applyFont="1" applyProtection="1">
      <protection locked="0"/>
    </xf>
    <xf numFmtId="0" fontId="25" fillId="0" borderId="0" xfId="0" applyFont="1" applyFill="1" applyBorder="1" applyAlignment="1">
      <alignment vertical="center" wrapText="1"/>
    </xf>
    <xf numFmtId="3" fontId="15" fillId="2" borderId="3" xfId="0" applyNumberFormat="1" applyFont="1" applyFill="1" applyBorder="1" applyProtection="1">
      <protection locked="0"/>
    </xf>
    <xf numFmtId="0" fontId="25" fillId="0" borderId="0" xfId="6" applyFont="1" applyFill="1" applyBorder="1" applyAlignment="1" applyProtection="1">
      <alignment wrapText="1"/>
      <protection locked="0"/>
    </xf>
    <xf numFmtId="0" fontId="33" fillId="0" borderId="0" xfId="0" applyFont="1" applyAlignment="1">
      <alignment vertical="center" wrapText="1"/>
    </xf>
    <xf numFmtId="0" fontId="15" fillId="7" borderId="0" xfId="0" applyFont="1" applyFill="1" applyBorder="1" applyAlignment="1">
      <alignment horizontal="left" wrapText="1"/>
    </xf>
    <xf numFmtId="0" fontId="15" fillId="0" borderId="0" xfId="0" applyFont="1" applyBorder="1" applyAlignment="1">
      <alignment horizontal="left"/>
    </xf>
    <xf numFmtId="3" fontId="15" fillId="0" borderId="37" xfId="0" applyNumberFormat="1" applyFont="1" applyBorder="1"/>
    <xf numFmtId="3" fontId="15" fillId="2" borderId="37" xfId="0" applyNumberFormat="1" applyFont="1" applyFill="1" applyBorder="1"/>
    <xf numFmtId="0" fontId="15" fillId="0" borderId="0" xfId="0" applyFont="1" applyBorder="1" applyAlignment="1">
      <alignment horizontal="left" wrapText="1"/>
    </xf>
    <xf numFmtId="3" fontId="15" fillId="0" borderId="3" xfId="0" applyNumberFormat="1" applyFont="1" applyBorder="1"/>
    <xf numFmtId="0" fontId="37" fillId="0" borderId="0" xfId="0" applyFont="1" applyBorder="1" applyAlignment="1">
      <alignment horizontal="left" wrapText="1"/>
    </xf>
    <xf numFmtId="0" fontId="37" fillId="0" borderId="0" xfId="0" applyFont="1" applyFill="1" applyBorder="1" applyAlignment="1">
      <alignment horizontal="center"/>
    </xf>
    <xf numFmtId="3" fontId="37" fillId="0" borderId="0" xfId="0" applyNumberFormat="1" applyFont="1" applyBorder="1" applyAlignment="1">
      <alignment horizontal="left"/>
    </xf>
    <xf numFmtId="0" fontId="15" fillId="0" borderId="0" xfId="0" applyFont="1" applyAlignment="1">
      <alignment horizontal="center"/>
    </xf>
    <xf numFmtId="0" fontId="33" fillId="0" borderId="0" xfId="0" applyFont="1" applyBorder="1" applyAlignment="1">
      <alignment wrapText="1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left" wrapText="1" indent="2"/>
    </xf>
    <xf numFmtId="0" fontId="15" fillId="0" borderId="0" xfId="0" applyFont="1" applyAlignment="1">
      <alignment wrapText="1"/>
    </xf>
    <xf numFmtId="0" fontId="25" fillId="0" borderId="0" xfId="0" applyFont="1" applyAlignment="1"/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1" fillId="0" borderId="0" xfId="0" applyFont="1" applyBorder="1" applyAlignment="1">
      <alignment horizontal="left" wrapText="1" indent="1"/>
    </xf>
    <xf numFmtId="3" fontId="15" fillId="0" borderId="38" xfId="0" applyNumberFormat="1" applyFont="1" applyBorder="1"/>
    <xf numFmtId="3" fontId="15" fillId="0" borderId="0" xfId="0" applyNumberFormat="1" applyFont="1" applyBorder="1" applyAlignment="1">
      <alignment horizontal="left"/>
    </xf>
    <xf numFmtId="0" fontId="15" fillId="0" borderId="4" xfId="0" applyFont="1" applyBorder="1" applyAlignment="1">
      <alignment vertical="center"/>
    </xf>
    <xf numFmtId="164" fontId="25" fillId="0" borderId="0" xfId="0" applyNumberFormat="1" applyFont="1" applyFill="1" applyBorder="1" applyAlignment="1">
      <alignment horizontal="center"/>
    </xf>
    <xf numFmtId="0" fontId="37" fillId="0" borderId="0" xfId="0" applyFont="1" applyAlignment="1">
      <alignment wrapText="1"/>
    </xf>
    <xf numFmtId="3" fontId="15" fillId="0" borderId="0" xfId="0" applyNumberFormat="1" applyFont="1" applyFill="1" applyAlignment="1">
      <alignment horizontal="center"/>
    </xf>
    <xf numFmtId="0" fontId="25" fillId="0" borderId="0" xfId="0" applyFont="1" applyFill="1" applyBorder="1" applyAlignment="1" applyProtection="1">
      <alignment horizontal="left" wrapText="1" indent="2"/>
      <protection locked="0"/>
    </xf>
    <xf numFmtId="164" fontId="25" fillId="0" borderId="0" xfId="0" applyNumberFormat="1" applyFont="1" applyFill="1" applyBorder="1"/>
    <xf numFmtId="0" fontId="15" fillId="0" borderId="0" xfId="0" applyFont="1" applyFill="1" applyBorder="1" applyAlignment="1">
      <alignment horizontal="left" wrapText="1"/>
    </xf>
    <xf numFmtId="0" fontId="25" fillId="0" borderId="0" xfId="0" applyFont="1" applyFill="1" applyBorder="1" applyAlignment="1">
      <alignment horizontal="left" wrapText="1" indent="2"/>
    </xf>
    <xf numFmtId="165" fontId="15" fillId="0" borderId="0" xfId="0" applyNumberFormat="1" applyFont="1" applyFill="1" applyAlignment="1">
      <alignment horizontal="center"/>
    </xf>
    <xf numFmtId="0" fontId="25" fillId="0" borderId="0" xfId="0" applyFont="1" applyBorder="1" applyAlignment="1">
      <alignment horizontal="left" wrapText="1" indent="2"/>
    </xf>
    <xf numFmtId="164" fontId="15" fillId="0" borderId="0" xfId="0" applyNumberFormat="1" applyFont="1" applyBorder="1" applyAlignment="1">
      <alignment horizontal="center"/>
    </xf>
    <xf numFmtId="0" fontId="25" fillId="0" borderId="0" xfId="0" applyFont="1" applyAlignment="1">
      <alignment horizontal="left" indent="2"/>
    </xf>
    <xf numFmtId="164" fontId="25" fillId="0" borderId="0" xfId="0" applyNumberFormat="1" applyFont="1" applyBorder="1"/>
    <xf numFmtId="0" fontId="25" fillId="0" borderId="0" xfId="0" applyFont="1" applyAlignment="1">
      <alignment horizontal="left" wrapText="1"/>
    </xf>
    <xf numFmtId="3" fontId="15" fillId="0" borderId="0" xfId="0" applyNumberFormat="1" applyFont="1" applyAlignment="1">
      <alignment horizontal="center"/>
    </xf>
    <xf numFmtId="0" fontId="25" fillId="0" borderId="0" xfId="0" applyFont="1" applyFill="1" applyAlignment="1">
      <alignment horizontal="left" wrapText="1" indent="2"/>
    </xf>
    <xf numFmtId="0" fontId="15" fillId="7" borderId="0" xfId="0" applyFont="1" applyFill="1" applyBorder="1" applyAlignment="1">
      <alignment vertical="center" wrapText="1"/>
    </xf>
    <xf numFmtId="0" fontId="21" fillId="0" borderId="0" xfId="0" applyFont="1" applyFill="1" applyBorder="1" applyAlignment="1" applyProtection="1">
      <alignment wrapText="1"/>
      <protection locked="0"/>
    </xf>
    <xf numFmtId="3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left" wrapText="1" indent="1"/>
    </xf>
    <xf numFmtId="0" fontId="25" fillId="0" borderId="0" xfId="0" applyFont="1" applyFill="1" applyAlignment="1">
      <alignment horizontal="left" wrapText="1" indent="1"/>
    </xf>
    <xf numFmtId="0" fontId="15" fillId="5" borderId="0" xfId="0" applyFont="1" applyFill="1" applyBorder="1" applyAlignment="1">
      <alignment vertical="center" wrapText="1"/>
    </xf>
    <xf numFmtId="0" fontId="15" fillId="0" borderId="0" xfId="0" applyFont="1" applyFill="1" applyAlignment="1">
      <alignment wrapText="1"/>
    </xf>
    <xf numFmtId="0" fontId="37" fillId="0" borderId="0" xfId="0" applyFont="1" applyFill="1" applyBorder="1" applyAlignment="1">
      <alignment wrapText="1"/>
    </xf>
    <xf numFmtId="0" fontId="37" fillId="0" borderId="0" xfId="0" applyFont="1" applyFill="1" applyBorder="1"/>
    <xf numFmtId="3" fontId="37" fillId="0" borderId="0" xfId="0" applyNumberFormat="1" applyFont="1" applyFill="1" applyBorder="1"/>
    <xf numFmtId="3" fontId="15" fillId="0" borderId="0" xfId="0" applyNumberFormat="1" applyFont="1" applyBorder="1" applyAlignment="1">
      <alignment horizontal="center"/>
    </xf>
    <xf numFmtId="3" fontId="15" fillId="0" borderId="0" xfId="0" applyNumberFormat="1" applyFont="1" applyFill="1"/>
    <xf numFmtId="3" fontId="38" fillId="0" borderId="0" xfId="0" applyNumberFormat="1" applyFont="1" applyFill="1" applyBorder="1"/>
    <xf numFmtId="0" fontId="25" fillId="5" borderId="0" xfId="0" applyFont="1" applyFill="1"/>
    <xf numFmtId="3" fontId="15" fillId="5" borderId="3" xfId="0" applyNumberFormat="1" applyFont="1" applyFill="1" applyBorder="1" applyAlignment="1">
      <alignment horizontal="right" vertical="center"/>
    </xf>
    <xf numFmtId="3" fontId="24" fillId="5" borderId="3" xfId="0" applyNumberFormat="1" applyFont="1" applyFill="1" applyBorder="1" applyAlignment="1">
      <alignment horizontal="right" vertical="center"/>
    </xf>
    <xf numFmtId="0" fontId="37" fillId="0" borderId="0" xfId="0" applyFont="1" applyFill="1" applyAlignment="1">
      <alignment horizontal="center"/>
    </xf>
    <xf numFmtId="0" fontId="37" fillId="0" borderId="0" xfId="0" applyFont="1"/>
    <xf numFmtId="3" fontId="37" fillId="0" borderId="0" xfId="0" applyNumberFormat="1" applyFont="1"/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 indent="2"/>
    </xf>
    <xf numFmtId="3" fontId="15" fillId="0" borderId="0" xfId="0" applyNumberFormat="1" applyFont="1" applyAlignment="1">
      <alignment horizontal="left" indent="2"/>
    </xf>
    <xf numFmtId="0" fontId="33" fillId="0" borderId="0" xfId="0" applyFont="1" applyAlignment="1">
      <alignment horizontal="left" wrapText="1"/>
    </xf>
    <xf numFmtId="3" fontId="25" fillId="0" borderId="0" xfId="0" applyNumberFormat="1" applyFont="1" applyFill="1" applyAlignment="1">
      <alignment wrapText="1"/>
    </xf>
    <xf numFmtId="3" fontId="25" fillId="0" borderId="0" xfId="0" applyNumberFormat="1" applyFont="1" applyAlignment="1">
      <alignment wrapText="1"/>
    </xf>
    <xf numFmtId="3" fontId="24" fillId="7" borderId="3" xfId="0" applyNumberFormat="1" applyFont="1" applyFill="1" applyBorder="1" applyAlignment="1">
      <alignment vertical="center"/>
    </xf>
    <xf numFmtId="3" fontId="15" fillId="7" borderId="32" xfId="0" applyNumberFormat="1" applyFont="1" applyFill="1" applyBorder="1" applyAlignment="1">
      <alignment vertical="center"/>
    </xf>
    <xf numFmtId="3" fontId="15" fillId="7" borderId="3" xfId="0" applyNumberFormat="1" applyFont="1" applyFill="1" applyBorder="1" applyAlignment="1">
      <alignment vertical="center"/>
    </xf>
    <xf numFmtId="0" fontId="15" fillId="7" borderId="4" xfId="0" applyFont="1" applyFill="1" applyBorder="1"/>
    <xf numFmtId="3" fontId="25" fillId="0" borderId="0" xfId="0" applyNumberFormat="1" applyFont="1" applyBorder="1" applyProtection="1">
      <protection locked="0"/>
    </xf>
    <xf numFmtId="0" fontId="25" fillId="0" borderId="0" xfId="6" applyFont="1" applyFill="1" applyBorder="1" applyAlignment="1" applyProtection="1">
      <alignment horizontal="left" wrapText="1"/>
      <protection locked="0"/>
    </xf>
    <xf numFmtId="0" fontId="15" fillId="0" borderId="0" xfId="0" applyFont="1" applyFill="1" applyAlignment="1">
      <alignment horizontal="left" indent="2"/>
    </xf>
    <xf numFmtId="3" fontId="24" fillId="0" borderId="3" xfId="0" applyNumberFormat="1" applyFont="1" applyFill="1" applyBorder="1"/>
    <xf numFmtId="3" fontId="15" fillId="7" borderId="3" xfId="0" applyNumberFormat="1" applyFont="1" applyFill="1" applyBorder="1"/>
    <xf numFmtId="0" fontId="24" fillId="0" borderId="0" xfId="0" applyFont="1"/>
    <xf numFmtId="0" fontId="23" fillId="0" borderId="49" xfId="0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24" fillId="0" borderId="51" xfId="0" applyFont="1" applyFill="1" applyBorder="1" applyAlignment="1">
      <alignment horizontal="center" vertical="center" wrapText="1"/>
    </xf>
    <xf numFmtId="0" fontId="24" fillId="0" borderId="49" xfId="0" applyFont="1" applyFill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0" borderId="0" xfId="0" applyFont="1" applyFill="1" applyAlignment="1">
      <alignment wrapText="1"/>
    </xf>
    <xf numFmtId="0" fontId="23" fillId="0" borderId="49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3" fillId="8" borderId="52" xfId="0" applyFont="1" applyFill="1" applyBorder="1" applyAlignment="1">
      <alignment horizontal="center" vertical="center" wrapText="1"/>
    </xf>
    <xf numFmtId="0" fontId="23" fillId="8" borderId="53" xfId="0" applyFont="1" applyFill="1" applyBorder="1" applyAlignment="1">
      <alignment horizontal="center" vertical="center" wrapText="1"/>
    </xf>
    <xf numFmtId="0" fontId="23" fillId="8" borderId="53" xfId="0" applyFont="1" applyFill="1" applyBorder="1" applyAlignment="1">
      <alignment horizontal="center" vertical="center"/>
    </xf>
    <xf numFmtId="0" fontId="23" fillId="8" borderId="54" xfId="0" applyFont="1" applyFill="1" applyBorder="1" applyAlignment="1">
      <alignment horizontal="center" vertical="center"/>
    </xf>
    <xf numFmtId="0" fontId="23" fillId="0" borderId="55" xfId="0" applyFont="1" applyFill="1" applyBorder="1" applyAlignment="1">
      <alignment horizontal="center" vertical="center"/>
    </xf>
    <xf numFmtId="0" fontId="23" fillId="0" borderId="53" xfId="0" applyFont="1" applyFill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8" borderId="53" xfId="0" applyFont="1" applyFill="1" applyBorder="1" applyAlignment="1">
      <alignment horizontal="center" vertical="center"/>
    </xf>
    <xf numFmtId="0" fontId="24" fillId="8" borderId="54" xfId="0" applyFont="1" applyFill="1" applyBorder="1" applyAlignment="1">
      <alignment horizontal="center" vertical="center"/>
    </xf>
    <xf numFmtId="0" fontId="24" fillId="8" borderId="55" xfId="0" applyFont="1" applyFill="1" applyBorder="1" applyAlignment="1">
      <alignment horizontal="center" vertical="center"/>
    </xf>
    <xf numFmtId="3" fontId="23" fillId="0" borderId="49" xfId="0" applyNumberFormat="1" applyFont="1" applyFill="1" applyBorder="1" applyAlignment="1">
      <alignment horizontal="center" vertical="center" wrapText="1"/>
    </xf>
    <xf numFmtId="3" fontId="24" fillId="0" borderId="49" xfId="0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/>
    </xf>
    <xf numFmtId="0" fontId="23" fillId="0" borderId="27" xfId="0" applyFont="1" applyFill="1" applyBorder="1" applyAlignment="1">
      <alignment horizontal="center"/>
    </xf>
    <xf numFmtId="0" fontId="24" fillId="0" borderId="27" xfId="0" applyFont="1" applyBorder="1" applyAlignment="1">
      <alignment horizontal="center"/>
    </xf>
    <xf numFmtId="2" fontId="39" fillId="0" borderId="0" xfId="0" applyNumberFormat="1" applyFont="1" applyFill="1" applyBorder="1"/>
    <xf numFmtId="2" fontId="23" fillId="0" borderId="0" xfId="0" applyNumberFormat="1" applyFont="1" applyFill="1" applyProtection="1">
      <protection locked="0"/>
    </xf>
    <xf numFmtId="2" fontId="23" fillId="0" borderId="0" xfId="0" applyNumberFormat="1" applyFont="1" applyFill="1" applyAlignment="1" applyProtection="1">
      <alignment horizontal="right" vertical="center"/>
      <protection locked="0"/>
    </xf>
    <xf numFmtId="2" fontId="23" fillId="0" borderId="0" xfId="0" applyNumberFormat="1" applyFont="1" applyFill="1" applyProtection="1"/>
    <xf numFmtId="2" fontId="23" fillId="0" borderId="0" xfId="0" applyNumberFormat="1" applyFont="1" applyFill="1" applyBorder="1" applyProtection="1">
      <protection locked="0"/>
    </xf>
    <xf numFmtId="2" fontId="23" fillId="0" borderId="0" xfId="0" applyNumberFormat="1" applyFont="1" applyFill="1" applyBorder="1" applyProtection="1"/>
    <xf numFmtId="2" fontId="24" fillId="0" borderId="0" xfId="0" applyNumberFormat="1" applyFont="1" applyFill="1" applyBorder="1" applyProtection="1">
      <protection locked="0"/>
    </xf>
    <xf numFmtId="4" fontId="24" fillId="0" borderId="0" xfId="0" applyNumberFormat="1" applyFont="1" applyFill="1" applyProtection="1"/>
    <xf numFmtId="2" fontId="23" fillId="0" borderId="0" xfId="0" applyNumberFormat="1" applyFont="1" applyFill="1"/>
    <xf numFmtId="4" fontId="39" fillId="0" borderId="0" xfId="0" applyNumberFormat="1" applyFont="1" applyBorder="1"/>
    <xf numFmtId="4" fontId="23" fillId="0" borderId="0" xfId="0" applyNumberFormat="1" applyFont="1" applyBorder="1"/>
    <xf numFmtId="4" fontId="23" fillId="0" borderId="0" xfId="0" applyNumberFormat="1" applyFont="1" applyProtection="1">
      <protection locked="0"/>
    </xf>
    <xf numFmtId="4" fontId="23" fillId="3" borderId="0" xfId="0" applyNumberFormat="1" applyFont="1" applyFill="1" applyAlignment="1" applyProtection="1">
      <alignment horizontal="right" vertical="center"/>
      <protection locked="0"/>
    </xf>
    <xf numFmtId="4" fontId="23" fillId="0" borderId="0" xfId="0" applyNumberFormat="1" applyFont="1" applyFill="1" applyBorder="1" applyProtection="1">
      <protection locked="0"/>
    </xf>
    <xf numFmtId="4" fontId="23" fillId="3" borderId="0" xfId="0" applyNumberFormat="1" applyFont="1" applyFill="1" applyProtection="1">
      <protection locked="0"/>
    </xf>
    <xf numFmtId="4" fontId="23" fillId="0" borderId="0" xfId="0" applyNumberFormat="1" applyFont="1" applyFill="1" applyProtection="1"/>
    <xf numFmtId="2" fontId="23" fillId="0" borderId="0" xfId="0" applyNumberFormat="1" applyFont="1" applyProtection="1">
      <protection locked="0"/>
    </xf>
    <xf numFmtId="4" fontId="23" fillId="3" borderId="0" xfId="0" applyNumberFormat="1" applyFont="1" applyFill="1" applyBorder="1" applyProtection="1">
      <protection locked="0"/>
    </xf>
    <xf numFmtId="4" fontId="23" fillId="0" borderId="0" xfId="0" applyNumberFormat="1" applyFont="1" applyFill="1" applyBorder="1" applyProtection="1"/>
    <xf numFmtId="4" fontId="23" fillId="0" borderId="0" xfId="0" applyNumberFormat="1" applyFont="1" applyBorder="1" applyProtection="1"/>
    <xf numFmtId="4" fontId="23" fillId="0" borderId="0" xfId="0" applyNumberFormat="1" applyFont="1" applyBorder="1" applyProtection="1">
      <protection locked="0"/>
    </xf>
    <xf numFmtId="4" fontId="24" fillId="0" borderId="0" xfId="0" applyNumberFormat="1" applyFont="1" applyBorder="1" applyProtection="1">
      <protection locked="0"/>
    </xf>
    <xf numFmtId="4" fontId="23" fillId="0" borderId="0" xfId="0" applyNumberFormat="1" applyFont="1"/>
    <xf numFmtId="2" fontId="39" fillId="0" borderId="0" xfId="0" applyNumberFormat="1" applyFont="1" applyBorder="1"/>
    <xf numFmtId="2" fontId="23" fillId="3" borderId="0" xfId="0" applyNumberFormat="1" applyFont="1" applyFill="1" applyAlignment="1" applyProtection="1">
      <alignment horizontal="right" vertical="center"/>
      <protection locked="0"/>
    </xf>
    <xf numFmtId="2" fontId="23" fillId="0" borderId="0" xfId="0" applyNumberFormat="1" applyFont="1" applyBorder="1" applyProtection="1">
      <protection locked="0"/>
    </xf>
    <xf numFmtId="2" fontId="23" fillId="3" borderId="0" xfId="0" applyNumberFormat="1" applyFont="1" applyFill="1" applyProtection="1">
      <protection locked="0"/>
    </xf>
    <xf numFmtId="2" fontId="25" fillId="0" borderId="0" xfId="4" applyNumberFormat="1" applyFont="1" applyFill="1" applyProtection="1"/>
    <xf numFmtId="2" fontId="23" fillId="0" borderId="0" xfId="0" applyNumberFormat="1" applyFont="1" applyProtection="1"/>
    <xf numFmtId="2" fontId="25" fillId="0" borderId="0" xfId="4" applyNumberFormat="1" applyFont="1" applyFill="1" applyProtection="1">
      <protection locked="0"/>
    </xf>
    <xf numFmtId="2" fontId="23" fillId="3" borderId="0" xfId="0" applyNumberFormat="1" applyFont="1" applyFill="1" applyBorder="1" applyProtection="1">
      <protection locked="0"/>
    </xf>
    <xf numFmtId="2" fontId="23" fillId="0" borderId="0" xfId="0" applyNumberFormat="1" applyFont="1" applyBorder="1" applyProtection="1"/>
    <xf numFmtId="2" fontId="23" fillId="0" borderId="0" xfId="0" applyNumberFormat="1" applyFont="1"/>
    <xf numFmtId="166" fontId="23" fillId="0" borderId="0" xfId="0" applyNumberFormat="1" applyFont="1" applyFill="1" applyProtection="1">
      <protection locked="0"/>
    </xf>
    <xf numFmtId="1" fontId="23" fillId="0" borderId="0" xfId="0" applyNumberFormat="1" applyFont="1"/>
    <xf numFmtId="4" fontId="24" fillId="0" borderId="0" xfId="0" applyNumberFormat="1" applyFont="1" applyFill="1" applyBorder="1" applyProtection="1"/>
    <xf numFmtId="2" fontId="23" fillId="6" borderId="0" xfId="0" applyNumberFormat="1" applyFont="1" applyFill="1" applyBorder="1" applyProtection="1">
      <protection locked="0"/>
    </xf>
    <xf numFmtId="1" fontId="23" fillId="0" borderId="0" xfId="0" applyNumberFormat="1" applyFont="1" applyFill="1"/>
    <xf numFmtId="3" fontId="23" fillId="6" borderId="0" xfId="0" applyNumberFormat="1" applyFont="1" applyFill="1" applyProtection="1">
      <protection locked="0"/>
    </xf>
    <xf numFmtId="3" fontId="23" fillId="0" borderId="0" xfId="0" applyNumberFormat="1" applyFont="1" applyFill="1" applyProtection="1">
      <protection locked="0"/>
    </xf>
    <xf numFmtId="0" fontId="23" fillId="0" borderId="0" xfId="0" applyFont="1" applyFill="1" applyProtection="1"/>
    <xf numFmtId="0" fontId="23" fillId="0" borderId="0" xfId="0" applyFont="1" applyProtection="1"/>
    <xf numFmtId="0" fontId="25" fillId="0" borderId="0" xfId="4" applyFont="1" applyFill="1" applyProtection="1"/>
    <xf numFmtId="3" fontId="23" fillId="6" borderId="0" xfId="0" applyNumberFormat="1" applyFont="1" applyFill="1" applyBorder="1" applyProtection="1">
      <protection locked="0"/>
    </xf>
    <xf numFmtId="0" fontId="23" fillId="0" borderId="0" xfId="0" applyFont="1" applyFill="1" applyBorder="1" applyProtection="1"/>
    <xf numFmtId="0" fontId="23" fillId="0" borderId="0" xfId="0" applyFont="1" applyBorder="1" applyProtection="1"/>
    <xf numFmtId="0" fontId="24" fillId="0" borderId="0" xfId="0" applyFont="1" applyFill="1" applyBorder="1" applyProtection="1"/>
    <xf numFmtId="3" fontId="24" fillId="0" borderId="0" xfId="0" applyNumberFormat="1" applyFont="1" applyFill="1" applyProtection="1"/>
    <xf numFmtId="3" fontId="24" fillId="0" borderId="0" xfId="0" applyNumberFormat="1" applyFont="1" applyProtection="1"/>
    <xf numFmtId="3" fontId="23" fillId="6" borderId="0" xfId="0" applyNumberFormat="1" applyFont="1" applyFill="1" applyAlignment="1" applyProtection="1">
      <alignment horizontal="right" vertical="center"/>
      <protection locked="0"/>
    </xf>
    <xf numFmtId="3" fontId="23" fillId="3" borderId="0" xfId="0" applyNumberFormat="1" applyFont="1" applyFill="1" applyAlignment="1" applyProtection="1">
      <alignment horizontal="right" vertical="center"/>
      <protection locked="0"/>
    </xf>
    <xf numFmtId="3" fontId="23" fillId="0" borderId="0" xfId="0" applyNumberFormat="1" applyFont="1" applyFill="1" applyAlignment="1" applyProtection="1">
      <alignment horizontal="right" vertical="center"/>
    </xf>
    <xf numFmtId="3" fontId="25" fillId="0" borderId="0" xfId="4" applyNumberFormat="1" applyFont="1" applyFill="1" applyAlignment="1" applyProtection="1">
      <alignment horizontal="right" vertical="center"/>
    </xf>
    <xf numFmtId="3" fontId="28" fillId="0" borderId="0" xfId="0" applyNumberFormat="1" applyFont="1" applyFill="1" applyAlignment="1" applyProtection="1">
      <alignment horizontal="right" vertical="center"/>
    </xf>
    <xf numFmtId="3" fontId="23" fillId="6" borderId="0" xfId="0" applyNumberFormat="1" applyFont="1" applyFill="1" applyBorder="1" applyAlignment="1" applyProtection="1">
      <alignment horizontal="right" vertical="center"/>
      <protection locked="0"/>
    </xf>
    <xf numFmtId="3" fontId="23" fillId="3" borderId="0" xfId="0" applyNumberFormat="1" applyFont="1" applyFill="1" applyBorder="1" applyAlignment="1" applyProtection="1">
      <alignment horizontal="right" vertical="center"/>
      <protection locked="0"/>
    </xf>
    <xf numFmtId="3" fontId="23" fillId="0" borderId="0" xfId="0" applyNumberFormat="1" applyFont="1" applyFill="1" applyBorder="1" applyAlignment="1" applyProtection="1">
      <alignment horizontal="right" vertical="center"/>
    </xf>
    <xf numFmtId="3" fontId="24" fillId="0" borderId="0" xfId="0" applyNumberFormat="1" applyFont="1" applyFill="1" applyBorder="1" applyAlignment="1" applyProtection="1">
      <alignment horizontal="right" vertical="center"/>
    </xf>
    <xf numFmtId="3" fontId="24" fillId="0" borderId="0" xfId="0" applyNumberFormat="1" applyFont="1" applyFill="1" applyAlignment="1" applyProtection="1">
      <alignment horizontal="right" vertical="center"/>
    </xf>
    <xf numFmtId="3" fontId="24" fillId="9" borderId="0" xfId="0" applyNumberFormat="1" applyFont="1" applyFill="1" applyAlignment="1" applyProtection="1">
      <alignment horizontal="right" vertical="center"/>
    </xf>
    <xf numFmtId="3" fontId="23" fillId="6" borderId="0" xfId="0" applyNumberFormat="1" applyFont="1" applyFill="1" applyBorder="1" applyAlignment="1" applyProtection="1">
      <alignment horizontal="right" vertical="center"/>
    </xf>
    <xf numFmtId="0" fontId="23" fillId="0" borderId="0" xfId="0" applyFont="1" applyFill="1" applyBorder="1"/>
    <xf numFmtId="49" fontId="23" fillId="0" borderId="0" xfId="0" applyNumberFormat="1" applyFont="1" applyFill="1" applyBorder="1" applyAlignment="1">
      <alignment vertical="center"/>
    </xf>
    <xf numFmtId="3" fontId="23" fillId="6" borderId="0" xfId="0" applyNumberFormat="1" applyFont="1" applyFill="1" applyAlignment="1" applyProtection="1">
      <alignment horizontal="right" vertical="center"/>
    </xf>
    <xf numFmtId="3" fontId="23" fillId="3" borderId="0" xfId="0" applyNumberFormat="1" applyFont="1" applyFill="1" applyAlignment="1" applyProtection="1">
      <alignment horizontal="right" vertical="center"/>
    </xf>
    <xf numFmtId="3" fontId="23" fillId="3" borderId="0" xfId="0" applyNumberFormat="1" applyFont="1" applyFill="1" applyBorder="1" applyAlignment="1" applyProtection="1">
      <alignment horizontal="right" vertical="center"/>
    </xf>
    <xf numFmtId="3" fontId="24" fillId="0" borderId="49" xfId="0" applyNumberFormat="1" applyFont="1" applyBorder="1"/>
    <xf numFmtId="3" fontId="24" fillId="0" borderId="49" xfId="0" applyNumberFormat="1" applyFont="1" applyFill="1" applyBorder="1"/>
    <xf numFmtId="3" fontId="15" fillId="0" borderId="49" xfId="4" applyNumberFormat="1" applyFont="1" applyFill="1" applyBorder="1"/>
    <xf numFmtId="3" fontId="24" fillId="0" borderId="0" xfId="0" applyNumberFormat="1" applyFont="1"/>
    <xf numFmtId="3" fontId="23" fillId="0" borderId="0" xfId="0" applyNumberFormat="1" applyFont="1" applyAlignment="1" applyProtection="1">
      <alignment horizontal="right" vertical="center"/>
    </xf>
    <xf numFmtId="3" fontId="23" fillId="0" borderId="0" xfId="0" applyNumberFormat="1" applyFont="1" applyBorder="1" applyAlignment="1" applyProtection="1">
      <alignment horizontal="right" vertical="center"/>
    </xf>
    <xf numFmtId="3" fontId="24" fillId="0" borderId="0" xfId="0" applyNumberFormat="1" applyFont="1" applyAlignment="1" applyProtection="1">
      <alignment horizontal="right" vertical="center"/>
    </xf>
    <xf numFmtId="3" fontId="24" fillId="3" borderId="0" xfId="0" applyNumberFormat="1" applyFont="1" applyFill="1" applyBorder="1" applyAlignment="1" applyProtection="1">
      <alignment horizontal="right" vertical="center"/>
    </xf>
    <xf numFmtId="3" fontId="15" fillId="0" borderId="0" xfId="4" applyNumberFormat="1" applyFont="1" applyFill="1" applyAlignment="1" applyProtection="1">
      <alignment horizontal="right" vertical="center"/>
    </xf>
    <xf numFmtId="3" fontId="24" fillId="0" borderId="0" xfId="0" applyNumberFormat="1" applyFont="1" applyBorder="1" applyAlignment="1" applyProtection="1">
      <alignment horizontal="right" vertical="center"/>
    </xf>
    <xf numFmtId="3" fontId="24" fillId="0" borderId="49" xfId="0" applyNumberFormat="1" applyFont="1" applyBorder="1" applyAlignment="1">
      <alignment vertical="center"/>
    </xf>
    <xf numFmtId="3" fontId="24" fillId="0" borderId="49" xfId="0" applyNumberFormat="1" applyFont="1" applyFill="1" applyBorder="1" applyAlignment="1">
      <alignment vertical="center"/>
    </xf>
    <xf numFmtId="3" fontId="15" fillId="0" borderId="49" xfId="4" applyNumberFormat="1" applyFont="1" applyFill="1" applyBorder="1" applyAlignment="1">
      <alignment vertical="center"/>
    </xf>
    <xf numFmtId="3" fontId="24" fillId="6" borderId="0" xfId="0" applyNumberFormat="1" applyFont="1" applyFill="1" applyAlignment="1" applyProtection="1">
      <alignment horizontal="right" vertical="center"/>
    </xf>
    <xf numFmtId="3" fontId="24" fillId="0" borderId="37" xfId="0" applyNumberFormat="1" applyFont="1" applyBorder="1" applyAlignment="1">
      <alignment horizontal="center" vertical="center"/>
    </xf>
    <xf numFmtId="3" fontId="24" fillId="0" borderId="35" xfId="0" applyNumberFormat="1" applyFont="1" applyBorder="1" applyAlignment="1">
      <alignment horizontal="right" vertical="center"/>
    </xf>
    <xf numFmtId="3" fontId="24" fillId="0" borderId="35" xfId="0" applyNumberFormat="1" applyFont="1" applyFill="1" applyBorder="1" applyAlignment="1">
      <alignment horizontal="right" vertical="center"/>
    </xf>
    <xf numFmtId="3" fontId="15" fillId="0" borderId="35" xfId="4" applyNumberFormat="1" applyFont="1" applyFill="1" applyBorder="1" applyAlignment="1">
      <alignment horizontal="right" vertical="center"/>
    </xf>
    <xf numFmtId="3" fontId="23" fillId="6" borderId="0" xfId="0" applyNumberFormat="1" applyFont="1" applyFill="1" applyAlignment="1">
      <alignment horizontal="right" vertical="center"/>
    </xf>
    <xf numFmtId="3" fontId="23" fillId="0" borderId="0" xfId="0" applyNumberFormat="1" applyFont="1" applyFill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3" fontId="25" fillId="0" borderId="0" xfId="4" applyNumberFormat="1" applyFont="1" applyFill="1" applyAlignment="1">
      <alignment horizontal="right" vertical="center"/>
    </xf>
    <xf numFmtId="3" fontId="23" fillId="0" borderId="0" xfId="0" applyNumberFormat="1" applyFont="1" applyFill="1" applyBorder="1" applyAlignment="1">
      <alignment horizontal="right" vertical="center"/>
    </xf>
    <xf numFmtId="3" fontId="23" fillId="0" borderId="0" xfId="0" applyNumberFormat="1" applyFont="1" applyBorder="1" applyAlignment="1">
      <alignment horizontal="right" vertical="center"/>
    </xf>
    <xf numFmtId="3" fontId="24" fillId="0" borderId="0" xfId="0" applyNumberFormat="1" applyFont="1" applyBorder="1" applyAlignment="1">
      <alignment horizontal="right" vertical="center"/>
    </xf>
    <xf numFmtId="49" fontId="23" fillId="0" borderId="0" xfId="0" applyNumberFormat="1" applyFont="1" applyFill="1"/>
    <xf numFmtId="3" fontId="24" fillId="9" borderId="0" xfId="0" applyNumberFormat="1" applyFont="1" applyFill="1" applyBorder="1" applyAlignment="1" applyProtection="1">
      <alignment horizontal="right" vertical="center"/>
    </xf>
    <xf numFmtId="3" fontId="24" fillId="0" borderId="37" xfId="0" applyNumberFormat="1" applyFont="1" applyFill="1" applyBorder="1" applyAlignment="1">
      <alignment horizontal="center" vertical="center"/>
    </xf>
    <xf numFmtId="3" fontId="23" fillId="0" borderId="0" xfId="0" applyNumberFormat="1" applyFont="1" applyFill="1" applyAlignment="1" applyProtection="1">
      <alignment vertical="center"/>
    </xf>
    <xf numFmtId="3" fontId="24" fillId="0" borderId="0" xfId="0" applyNumberFormat="1" applyFont="1" applyFill="1" applyAlignment="1" applyProtection="1">
      <alignment vertical="center"/>
    </xf>
    <xf numFmtId="0" fontId="23" fillId="0" borderId="0" xfId="0" applyFont="1" applyFill="1" applyAlignment="1"/>
    <xf numFmtId="0" fontId="24" fillId="0" borderId="0" xfId="0" applyFont="1" applyBorder="1"/>
    <xf numFmtId="0" fontId="24" fillId="0" borderId="0" xfId="0" applyFont="1" applyFill="1"/>
    <xf numFmtId="0" fontId="25" fillId="0" borderId="49" xfId="0" applyFont="1" applyFill="1" applyBorder="1" applyAlignment="1">
      <alignment horizontal="center" vertical="center" wrapText="1"/>
    </xf>
    <xf numFmtId="0" fontId="25" fillId="0" borderId="50" xfId="0" applyFont="1" applyFill="1" applyBorder="1" applyAlignment="1">
      <alignment horizontal="center" vertical="center" wrapText="1"/>
    </xf>
    <xf numFmtId="0" fontId="25" fillId="0" borderId="51" xfId="0" applyFont="1" applyFill="1" applyBorder="1" applyAlignment="1">
      <alignment horizontal="center" vertical="center" wrapText="1"/>
    </xf>
    <xf numFmtId="0" fontId="15" fillId="0" borderId="54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25" fillId="0" borderId="49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/>
    </xf>
    <xf numFmtId="0" fontId="25" fillId="0" borderId="49" xfId="0" applyFont="1" applyFill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49" xfId="0" applyFont="1" applyBorder="1"/>
    <xf numFmtId="0" fontId="25" fillId="8" borderId="52" xfId="0" applyFont="1" applyFill="1" applyBorder="1" applyAlignment="1">
      <alignment horizontal="center" vertical="center" wrapText="1"/>
    </xf>
    <xf numFmtId="0" fontId="25" fillId="8" borderId="53" xfId="0" applyFont="1" applyFill="1" applyBorder="1" applyAlignment="1">
      <alignment horizontal="center" vertical="center" wrapText="1"/>
    </xf>
    <xf numFmtId="0" fontId="25" fillId="0" borderId="53" xfId="0" applyFont="1" applyFill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5" fillId="0" borderId="55" xfId="0" applyFont="1" applyFill="1" applyBorder="1" applyAlignment="1">
      <alignment horizontal="center" vertical="center"/>
    </xf>
    <xf numFmtId="0" fontId="25" fillId="6" borderId="54" xfId="0" applyFont="1" applyFill="1" applyBorder="1" applyAlignment="1">
      <alignment horizontal="center"/>
    </xf>
    <xf numFmtId="0" fontId="25" fillId="0" borderId="54" xfId="0" applyFont="1" applyFill="1" applyBorder="1" applyAlignment="1">
      <alignment horizontal="center"/>
    </xf>
    <xf numFmtId="0" fontId="15" fillId="8" borderId="21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 vertical="center"/>
    </xf>
    <xf numFmtId="0" fontId="15" fillId="8" borderId="42" xfId="0" applyFont="1" applyFill="1" applyBorder="1" applyAlignment="1">
      <alignment horizontal="center" vertical="center"/>
    </xf>
    <xf numFmtId="0" fontId="25" fillId="0" borderId="27" xfId="0" applyFont="1" applyBorder="1" applyAlignment="1">
      <alignment horizontal="center"/>
    </xf>
    <xf numFmtId="0" fontId="25" fillId="0" borderId="27" xfId="0" applyFont="1" applyFill="1" applyBorder="1" applyAlignment="1">
      <alignment horizontal="center"/>
    </xf>
    <xf numFmtId="0" fontId="15" fillId="0" borderId="27" xfId="0" applyFont="1" applyBorder="1" applyAlignment="1">
      <alignment horizontal="center"/>
    </xf>
    <xf numFmtId="2" fontId="41" fillId="0" borderId="0" xfId="0" applyNumberFormat="1" applyFont="1" applyFill="1" applyBorder="1"/>
    <xf numFmtId="2" fontId="25" fillId="0" borderId="0" xfId="0" applyNumberFormat="1" applyFont="1" applyFill="1" applyBorder="1" applyProtection="1">
      <protection locked="0"/>
    </xf>
    <xf numFmtId="2" fontId="25" fillId="0" borderId="0" xfId="0" applyNumberFormat="1" applyFont="1" applyFill="1" applyBorder="1" applyProtection="1"/>
    <xf numFmtId="2" fontId="25" fillId="0" borderId="0" xfId="0" applyNumberFormat="1" applyFont="1" applyFill="1" applyBorder="1"/>
    <xf numFmtId="4" fontId="15" fillId="0" borderId="0" xfId="0" applyNumberFormat="1" applyFont="1" applyFill="1" applyProtection="1"/>
    <xf numFmtId="2" fontId="15" fillId="0" borderId="0" xfId="0" applyNumberFormat="1" applyFont="1" applyFill="1"/>
    <xf numFmtId="2" fontId="25" fillId="0" borderId="0" xfId="0" applyNumberFormat="1" applyFont="1" applyFill="1"/>
    <xf numFmtId="2" fontId="41" fillId="0" borderId="0" xfId="0" applyNumberFormat="1" applyFont="1" applyBorder="1"/>
    <xf numFmtId="2" fontId="25" fillId="3" borderId="0" xfId="0" applyNumberFormat="1" applyFont="1" applyFill="1" applyBorder="1" applyProtection="1">
      <protection locked="0"/>
    </xf>
    <xf numFmtId="2" fontId="25" fillId="0" borderId="0" xfId="0" applyNumberFormat="1" applyFont="1" applyBorder="1" applyProtection="1">
      <protection locked="0"/>
    </xf>
    <xf numFmtId="2" fontId="25" fillId="0" borderId="0" xfId="0" applyNumberFormat="1" applyFont="1" applyBorder="1" applyProtection="1"/>
    <xf numFmtId="2" fontId="25" fillId="0" borderId="0" xfId="0" applyNumberFormat="1" applyFont="1" applyBorder="1"/>
    <xf numFmtId="2" fontId="25" fillId="3" borderId="0" xfId="0" applyNumberFormat="1" applyFont="1" applyFill="1" applyBorder="1"/>
    <xf numFmtId="4" fontId="15" fillId="0" borderId="0" xfId="0" applyNumberFormat="1" applyFont="1" applyProtection="1"/>
    <xf numFmtId="4" fontId="15" fillId="9" borderId="0" xfId="0" applyNumberFormat="1" applyFont="1" applyFill="1" applyProtection="1"/>
    <xf numFmtId="2" fontId="15" fillId="0" borderId="0" xfId="0" applyNumberFormat="1" applyFont="1" applyBorder="1" applyProtection="1">
      <protection locked="0"/>
    </xf>
    <xf numFmtId="2" fontId="25" fillId="0" borderId="0" xfId="0" applyNumberFormat="1" applyFont="1"/>
    <xf numFmtId="2" fontId="15" fillId="0" borderId="0" xfId="0" applyNumberFormat="1" applyFont="1"/>
    <xf numFmtId="4" fontId="15" fillId="0" borderId="0" xfId="0" applyNumberFormat="1" applyFont="1" applyBorder="1" applyProtection="1"/>
    <xf numFmtId="2" fontId="15" fillId="0" borderId="0" xfId="0" applyNumberFormat="1" applyFont="1" applyProtection="1">
      <protection locked="0"/>
    </xf>
    <xf numFmtId="166" fontId="25" fillId="0" borderId="0" xfId="0" applyNumberFormat="1" applyFont="1" applyFill="1" applyProtection="1">
      <protection locked="0"/>
    </xf>
    <xf numFmtId="1" fontId="25" fillId="0" borderId="0" xfId="0" applyNumberFormat="1" applyFont="1"/>
    <xf numFmtId="4" fontId="15" fillId="0" borderId="0" xfId="0" applyNumberFormat="1" applyFont="1" applyFill="1" applyBorder="1" applyProtection="1"/>
    <xf numFmtId="2" fontId="15" fillId="0" borderId="0" xfId="0" applyNumberFormat="1" applyFont="1" applyFill="1" applyProtection="1">
      <protection locked="0"/>
    </xf>
    <xf numFmtId="1" fontId="25" fillId="0" borderId="0" xfId="0" applyNumberFormat="1" applyFont="1" applyFill="1"/>
    <xf numFmtId="0" fontId="25" fillId="0" borderId="0" xfId="0" applyFont="1" applyFill="1" applyBorder="1" applyProtection="1"/>
    <xf numFmtId="0" fontId="25" fillId="0" borderId="0" xfId="0" applyFont="1" applyBorder="1" applyProtection="1"/>
    <xf numFmtId="3" fontId="15" fillId="0" borderId="0" xfId="0" applyNumberFormat="1" applyFont="1" applyFill="1" applyProtection="1"/>
    <xf numFmtId="3" fontId="15" fillId="0" borderId="0" xfId="0" applyNumberFormat="1" applyFont="1" applyProtection="1"/>
    <xf numFmtId="3" fontId="25" fillId="3" borderId="0" xfId="0" applyNumberFormat="1" applyFont="1" applyFill="1" applyBorder="1" applyAlignment="1" applyProtection="1">
      <alignment horizontal="right" vertical="center"/>
      <protection locked="0"/>
    </xf>
    <xf numFmtId="3" fontId="25" fillId="0" borderId="0" xfId="0" applyNumberFormat="1" applyFont="1" applyFill="1" applyBorder="1" applyAlignment="1" applyProtection="1">
      <alignment horizontal="right" vertical="center"/>
    </xf>
    <xf numFmtId="3" fontId="25" fillId="0" borderId="0" xfId="0" applyNumberFormat="1" applyFont="1" applyFill="1" applyBorder="1" applyAlignment="1" applyProtection="1">
      <alignment horizontal="right" vertical="center"/>
      <protection locked="0"/>
    </xf>
    <xf numFmtId="3" fontId="25" fillId="3" borderId="0" xfId="0" applyNumberFormat="1" applyFont="1" applyFill="1" applyBorder="1"/>
    <xf numFmtId="3" fontId="15" fillId="0" borderId="0" xfId="0" applyNumberFormat="1" applyFont="1" applyFill="1" applyAlignment="1" applyProtection="1">
      <alignment horizontal="right" vertical="center"/>
    </xf>
    <xf numFmtId="3" fontId="15" fillId="9" borderId="0" xfId="0" applyNumberFormat="1" applyFont="1" applyFill="1" applyAlignment="1" applyProtection="1">
      <alignment horizontal="right" vertical="center"/>
    </xf>
    <xf numFmtId="3" fontId="15" fillId="0" borderId="0" xfId="0" applyNumberFormat="1" applyFont="1" applyFill="1" applyBorder="1" applyAlignment="1" applyProtection="1">
      <alignment horizontal="right" vertical="center"/>
    </xf>
    <xf numFmtId="3" fontId="15" fillId="0" borderId="49" xfId="0" applyNumberFormat="1" applyFont="1" applyBorder="1"/>
    <xf numFmtId="3" fontId="15" fillId="0" borderId="49" xfId="0" applyNumberFormat="1" applyFont="1" applyFill="1" applyBorder="1"/>
    <xf numFmtId="3" fontId="25" fillId="3" borderId="0" xfId="0" applyNumberFormat="1" applyFont="1" applyFill="1"/>
    <xf numFmtId="3" fontId="25" fillId="0" borderId="0" xfId="0" applyNumberFormat="1" applyFont="1" applyFill="1" applyAlignment="1">
      <alignment horizontal="right" vertical="center"/>
    </xf>
    <xf numFmtId="3" fontId="15" fillId="0" borderId="0" xfId="0" applyNumberFormat="1" applyFont="1" applyAlignment="1" applyProtection="1">
      <alignment horizontal="right" vertical="center"/>
    </xf>
    <xf numFmtId="3" fontId="25" fillId="3" borderId="0" xfId="0" applyNumberFormat="1" applyFont="1" applyFill="1" applyAlignment="1">
      <alignment vertical="center"/>
    </xf>
    <xf numFmtId="0" fontId="15" fillId="0" borderId="49" xfId="0" applyFont="1" applyBorder="1" applyAlignment="1">
      <alignment vertical="center"/>
    </xf>
    <xf numFmtId="3" fontId="15" fillId="0" borderId="49" xfId="0" applyNumberFormat="1" applyFont="1" applyFill="1" applyBorder="1" applyAlignment="1" applyProtection="1">
      <alignment horizontal="right" vertical="center"/>
    </xf>
    <xf numFmtId="3" fontId="15" fillId="6" borderId="49" xfId="0" applyNumberFormat="1" applyFont="1" applyFill="1" applyBorder="1" applyAlignment="1" applyProtection="1">
      <alignment horizontal="right" vertical="center"/>
    </xf>
    <xf numFmtId="3" fontId="15" fillId="9" borderId="0" xfId="0" applyNumberFormat="1" applyFont="1" applyFill="1" applyBorder="1" applyAlignment="1" applyProtection="1">
      <alignment horizontal="right" vertical="center"/>
    </xf>
    <xf numFmtId="3" fontId="15" fillId="0" borderId="0" xfId="0" applyNumberFormat="1" applyFont="1" applyBorder="1" applyAlignment="1" applyProtection="1">
      <alignment horizontal="right" vertical="center"/>
    </xf>
    <xf numFmtId="3" fontId="15" fillId="0" borderId="37" xfId="0" applyNumberFormat="1" applyFont="1" applyBorder="1" applyAlignment="1">
      <alignment horizontal="center" vertical="center"/>
    </xf>
    <xf numFmtId="3" fontId="15" fillId="0" borderId="52" xfId="0" applyNumberFormat="1" applyFont="1" applyFill="1" applyBorder="1" applyAlignment="1" applyProtection="1">
      <alignment horizontal="right" vertical="center"/>
    </xf>
    <xf numFmtId="3" fontId="15" fillId="0" borderId="35" xfId="0" applyNumberFormat="1" applyFont="1" applyFill="1" applyBorder="1" applyAlignment="1" applyProtection="1">
      <alignment horizontal="right" vertical="center"/>
    </xf>
    <xf numFmtId="3" fontId="15" fillId="0" borderId="36" xfId="0" applyNumberFormat="1" applyFont="1" applyFill="1" applyBorder="1" applyAlignment="1" applyProtection="1">
      <alignment horizontal="right" vertical="center"/>
    </xf>
    <xf numFmtId="3" fontId="15" fillId="0" borderId="50" xfId="0" applyNumberFormat="1" applyFont="1" applyFill="1" applyBorder="1" applyAlignment="1" applyProtection="1">
      <alignment horizontal="right" vertical="center"/>
    </xf>
    <xf numFmtId="3" fontId="25" fillId="0" borderId="0" xfId="0" applyNumberFormat="1" applyFont="1" applyFill="1" applyAlignment="1">
      <alignment horizontal="right"/>
    </xf>
    <xf numFmtId="3" fontId="25" fillId="3" borderId="0" xfId="0" applyNumberFormat="1" applyFont="1" applyFill="1" applyBorder="1" applyAlignment="1">
      <alignment vertical="center"/>
    </xf>
    <xf numFmtId="3" fontId="25" fillId="3" borderId="0" xfId="0" applyNumberFormat="1" applyFont="1" applyFill="1" applyBorder="1" applyAlignment="1">
      <alignment horizontal="right" vertical="center"/>
    </xf>
    <xf numFmtId="3" fontId="25" fillId="3" borderId="0" xfId="0" applyNumberFormat="1" applyFont="1" applyFill="1" applyAlignment="1">
      <alignment horizontal="right"/>
    </xf>
    <xf numFmtId="3" fontId="15" fillId="0" borderId="49" xfId="0" applyNumberFormat="1" applyFont="1" applyFill="1" applyBorder="1" applyAlignment="1">
      <alignment vertical="center"/>
    </xf>
    <xf numFmtId="3" fontId="15" fillId="6" borderId="0" xfId="0" applyNumberFormat="1" applyFont="1" applyFill="1" applyAlignment="1" applyProtection="1">
      <alignment horizontal="right" vertical="center"/>
    </xf>
    <xf numFmtId="3" fontId="15" fillId="0" borderId="37" xfId="0" applyNumberFormat="1" applyFont="1" applyFill="1" applyBorder="1" applyAlignment="1">
      <alignment horizontal="center" vertical="center"/>
    </xf>
    <xf numFmtId="3" fontId="25" fillId="6" borderId="0" xfId="0" applyNumberFormat="1" applyFont="1" applyFill="1" applyBorder="1" applyAlignment="1" applyProtection="1">
      <alignment horizontal="right" vertical="center"/>
    </xf>
    <xf numFmtId="3" fontId="15" fillId="6" borderId="0" xfId="0" applyNumberFormat="1" applyFont="1" applyFill="1" applyBorder="1" applyAlignment="1" applyProtection="1">
      <alignment horizontal="right" vertical="center"/>
    </xf>
    <xf numFmtId="164" fontId="25" fillId="0" borderId="0" xfId="0" applyNumberFormat="1" applyFont="1" applyFill="1"/>
    <xf numFmtId="0" fontId="25" fillId="0" borderId="50" xfId="0" applyFont="1" applyBorder="1" applyAlignment="1">
      <alignment horizontal="center"/>
    </xf>
    <xf numFmtId="0" fontId="25" fillId="0" borderId="51" xfId="0" applyFont="1" applyBorder="1" applyAlignment="1">
      <alignment horizontal="center"/>
    </xf>
    <xf numFmtId="0" fontId="25" fillId="0" borderId="56" xfId="0" applyFont="1" applyFill="1" applyBorder="1" applyAlignment="1">
      <alignment horizontal="center"/>
    </xf>
    <xf numFmtId="0" fontId="25" fillId="0" borderId="56" xfId="0" applyFont="1" applyBorder="1" applyAlignment="1">
      <alignment horizontal="center"/>
    </xf>
    <xf numFmtId="0" fontId="15" fillId="0" borderId="54" xfId="0" applyFont="1" applyBorder="1" applyAlignment="1">
      <alignment horizontal="center"/>
    </xf>
    <xf numFmtId="3" fontId="15" fillId="0" borderId="53" xfId="0" applyNumberFormat="1" applyFont="1" applyBorder="1" applyAlignment="1">
      <alignment horizontal="center"/>
    </xf>
    <xf numFmtId="3" fontId="15" fillId="0" borderId="54" xfId="0" applyNumberFormat="1" applyFont="1" applyBorder="1" applyAlignment="1">
      <alignment horizontal="center"/>
    </xf>
    <xf numFmtId="0" fontId="15" fillId="0" borderId="55" xfId="0" applyFont="1" applyFill="1" applyBorder="1" applyAlignment="1">
      <alignment horizontal="center"/>
    </xf>
    <xf numFmtId="0" fontId="23" fillId="0" borderId="49" xfId="0" applyFont="1" applyBorder="1" applyAlignment="1"/>
    <xf numFmtId="0" fontId="25" fillId="0" borderId="49" xfId="0" applyFont="1" applyFill="1" applyBorder="1"/>
    <xf numFmtId="0" fontId="15" fillId="0" borderId="49" xfId="0" applyFont="1" applyBorder="1" applyAlignment="1">
      <alignment horizontal="center" vertical="center" wrapText="1"/>
    </xf>
    <xf numFmtId="3" fontId="15" fillId="0" borderId="49" xfId="0" applyNumberFormat="1" applyFont="1" applyFill="1" applyBorder="1" applyAlignment="1">
      <alignment horizontal="center" vertical="center" wrapText="1"/>
    </xf>
    <xf numFmtId="0" fontId="15" fillId="0" borderId="49" xfId="0" applyFont="1" applyFill="1" applyBorder="1"/>
    <xf numFmtId="0" fontId="15" fillId="0" borderId="49" xfId="0" applyFont="1" applyFill="1" applyBorder="1" applyAlignment="1">
      <alignment vertical="center"/>
    </xf>
    <xf numFmtId="0" fontId="25" fillId="0" borderId="52" xfId="0" applyFont="1" applyFill="1" applyBorder="1" applyAlignment="1">
      <alignment horizontal="center" vertical="center"/>
    </xf>
    <xf numFmtId="0" fontId="25" fillId="0" borderId="52" xfId="0" applyFont="1" applyFill="1" applyBorder="1"/>
    <xf numFmtId="0" fontId="15" fillId="0" borderId="52" xfId="0" applyFont="1" applyFill="1" applyBorder="1" applyAlignment="1">
      <alignment horizontal="center" vertical="center"/>
    </xf>
    <xf numFmtId="0" fontId="15" fillId="0" borderId="52" xfId="0" applyFont="1" applyFill="1" applyBorder="1"/>
    <xf numFmtId="0" fontId="4" fillId="0" borderId="27" xfId="0" applyFont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30" fillId="0" borderId="27" xfId="0" applyFont="1" applyFill="1" applyBorder="1" applyAlignment="1">
      <alignment horizont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2" fontId="25" fillId="0" borderId="0" xfId="0" applyNumberFormat="1" applyFont="1" applyFill="1" applyProtection="1">
      <protection locked="0"/>
    </xf>
    <xf numFmtId="3" fontId="15" fillId="0" borderId="0" xfId="0" applyNumberFormat="1" applyFont="1" applyFill="1" applyProtection="1">
      <protection locked="0"/>
    </xf>
    <xf numFmtId="4" fontId="41" fillId="0" borderId="0" xfId="0" applyNumberFormat="1" applyFont="1" applyBorder="1"/>
    <xf numFmtId="2" fontId="25" fillId="0" borderId="0" xfId="0" applyNumberFormat="1" applyFont="1" applyProtection="1">
      <protection locked="0"/>
    </xf>
    <xf numFmtId="4" fontId="25" fillId="0" borderId="0" xfId="0" applyNumberFormat="1" applyFont="1" applyProtection="1">
      <protection locked="0"/>
    </xf>
    <xf numFmtId="4" fontId="25" fillId="3" borderId="0" xfId="0" applyNumberFormat="1" applyFont="1" applyFill="1" applyProtection="1">
      <protection locked="0"/>
    </xf>
    <xf numFmtId="4" fontId="25" fillId="0" borderId="0" xfId="0" applyNumberFormat="1" applyFont="1" applyFill="1"/>
    <xf numFmtId="4" fontId="25" fillId="0" borderId="0" xfId="0" applyNumberFormat="1" applyFont="1"/>
    <xf numFmtId="4" fontId="25" fillId="3" borderId="0" xfId="0" applyNumberFormat="1" applyFont="1" applyFill="1"/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Fill="1" applyProtection="1">
      <protection locked="0"/>
    </xf>
    <xf numFmtId="2" fontId="25" fillId="3" borderId="0" xfId="0" applyNumberFormat="1" applyFont="1" applyFill="1" applyProtection="1">
      <protection locked="0"/>
    </xf>
    <xf numFmtId="2" fontId="25" fillId="3" borderId="0" xfId="0" applyNumberFormat="1" applyFont="1" applyFill="1"/>
    <xf numFmtId="2" fontId="15" fillId="9" borderId="0" xfId="0" applyNumberFormat="1" applyFont="1" applyFill="1" applyProtection="1">
      <protection locked="0"/>
    </xf>
    <xf numFmtId="4" fontId="15" fillId="0" borderId="0" xfId="0" applyNumberFormat="1" applyFont="1" applyProtection="1">
      <protection locked="0"/>
    </xf>
    <xf numFmtId="4" fontId="15" fillId="9" borderId="0" xfId="0" applyNumberFormat="1" applyFont="1" applyFill="1" applyProtection="1">
      <protection locked="0"/>
    </xf>
    <xf numFmtId="4" fontId="15" fillId="0" borderId="0" xfId="0" applyNumberFormat="1" applyFont="1" applyFill="1" applyProtection="1">
      <protection locked="0"/>
    </xf>
    <xf numFmtId="3" fontId="25" fillId="0" borderId="0" xfId="0" applyNumberFormat="1" applyFont="1" applyAlignment="1" applyProtection="1">
      <alignment horizontal="right" vertical="center"/>
      <protection locked="0"/>
    </xf>
    <xf numFmtId="3" fontId="25" fillId="3" borderId="0" xfId="0" applyNumberFormat="1" applyFont="1" applyFill="1" applyAlignment="1" applyProtection="1">
      <alignment horizontal="right" vertical="center"/>
      <protection locked="0"/>
    </xf>
    <xf numFmtId="3" fontId="25" fillId="0" borderId="0" xfId="0" applyNumberFormat="1" applyFont="1" applyAlignment="1">
      <alignment horizontal="right" vertical="center"/>
    </xf>
    <xf numFmtId="3" fontId="25" fillId="3" borderId="0" xfId="0" applyNumberFormat="1" applyFont="1" applyFill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3" fontId="15" fillId="0" borderId="0" xfId="0" applyNumberFormat="1" applyFont="1" applyProtection="1">
      <protection locked="0"/>
    </xf>
    <xf numFmtId="3" fontId="15" fillId="11" borderId="0" xfId="0" applyNumberFormat="1" applyFont="1" applyFill="1" applyProtection="1">
      <protection locked="0"/>
    </xf>
    <xf numFmtId="3" fontId="15" fillId="0" borderId="0" xfId="0" applyNumberFormat="1" applyFont="1" applyFill="1" applyAlignment="1">
      <alignment horizontal="right" vertical="center"/>
    </xf>
    <xf numFmtId="3" fontId="15" fillId="9" borderId="0" xfId="0" applyNumberFormat="1" applyFont="1" applyFill="1" applyProtection="1">
      <protection locked="0"/>
    </xf>
    <xf numFmtId="49" fontId="25" fillId="0" borderId="0" xfId="0" applyNumberFormat="1" applyFont="1" applyFill="1" applyBorder="1" applyAlignment="1">
      <alignment vertical="center"/>
    </xf>
    <xf numFmtId="49" fontId="25" fillId="12" borderId="0" xfId="0" applyNumberFormat="1" applyFont="1" applyFill="1" applyBorder="1" applyAlignment="1">
      <alignment vertical="center"/>
    </xf>
    <xf numFmtId="3" fontId="25" fillId="0" borderId="0" xfId="0" applyNumberFormat="1" applyFont="1" applyFill="1" applyAlignment="1" applyProtection="1">
      <alignment horizontal="right" vertical="center"/>
      <protection locked="0"/>
    </xf>
    <xf numFmtId="3" fontId="15" fillId="0" borderId="0" xfId="0" applyNumberFormat="1" applyFont="1" applyAlignment="1" applyProtection="1">
      <alignment horizontal="right" vertical="center"/>
      <protection locked="0"/>
    </xf>
    <xf numFmtId="3" fontId="15" fillId="9" borderId="0" xfId="0" applyNumberFormat="1" applyFont="1" applyFill="1" applyAlignment="1" applyProtection="1">
      <alignment horizontal="right" vertical="center"/>
      <protection locked="0"/>
    </xf>
    <xf numFmtId="3" fontId="15" fillId="11" borderId="0" xfId="0" applyNumberFormat="1" applyFont="1" applyFill="1" applyAlignment="1" applyProtection="1">
      <alignment horizontal="right" vertical="center"/>
      <protection locked="0"/>
    </xf>
    <xf numFmtId="3" fontId="15" fillId="10" borderId="49" xfId="0" applyNumberFormat="1" applyFont="1" applyFill="1" applyBorder="1" applyAlignment="1" applyProtection="1">
      <alignment horizontal="right" vertical="center"/>
    </xf>
    <xf numFmtId="3" fontId="25" fillId="0" borderId="0" xfId="0" applyNumberFormat="1" applyFont="1" applyFill="1" applyAlignment="1" applyProtection="1">
      <alignment horizontal="right" vertical="center"/>
    </xf>
    <xf numFmtId="3" fontId="25" fillId="0" borderId="0" xfId="0" applyNumberFormat="1" applyFont="1" applyAlignment="1" applyProtection="1">
      <alignment horizontal="right" vertical="center"/>
    </xf>
    <xf numFmtId="3" fontId="25" fillId="6" borderId="0" xfId="0" applyNumberFormat="1" applyFont="1" applyFill="1" applyAlignment="1" applyProtection="1">
      <alignment horizontal="right" vertical="center"/>
      <protection locked="0"/>
    </xf>
    <xf numFmtId="0" fontId="15" fillId="0" borderId="0" xfId="0" applyFont="1" applyFill="1" applyBorder="1"/>
    <xf numFmtId="0" fontId="15" fillId="0" borderId="37" xfId="0" applyFont="1" applyBorder="1" applyAlignment="1">
      <alignment horizontal="center" vertical="center"/>
    </xf>
    <xf numFmtId="3" fontId="15" fillId="10" borderId="36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Alignment="1">
      <alignment vertical="center"/>
    </xf>
    <xf numFmtId="3" fontId="15" fillId="0" borderId="0" xfId="0" applyNumberFormat="1" applyFont="1" applyFill="1" applyAlignment="1" applyProtection="1">
      <alignment horizontal="right" vertical="center"/>
      <protection locked="0"/>
    </xf>
    <xf numFmtId="49" fontId="25" fillId="0" borderId="0" xfId="0" applyNumberFormat="1" applyFont="1" applyFill="1"/>
    <xf numFmtId="0" fontId="25" fillId="0" borderId="0" xfId="0" applyFont="1" applyBorder="1" applyAlignment="1">
      <alignment horizontal="center"/>
    </xf>
    <xf numFmtId="3" fontId="25" fillId="0" borderId="0" xfId="0" applyNumberFormat="1" applyFont="1" applyBorder="1" applyAlignment="1" applyProtection="1">
      <alignment horizontal="right" vertical="center"/>
      <protection locked="0"/>
    </xf>
    <xf numFmtId="3" fontId="25" fillId="0" borderId="0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10" borderId="52" xfId="0" applyNumberFormat="1" applyFont="1" applyFill="1" applyBorder="1" applyAlignment="1" applyProtection="1">
      <alignment horizontal="right" vertical="center"/>
    </xf>
    <xf numFmtId="0" fontId="15" fillId="0" borderId="37" xfId="0" applyFont="1" applyFill="1" applyBorder="1" applyAlignment="1">
      <alignment horizontal="center" vertical="center"/>
    </xf>
    <xf numFmtId="0" fontId="34" fillId="0" borderId="0" xfId="0" applyFont="1" applyFill="1"/>
    <xf numFmtId="3" fontId="34" fillId="0" borderId="0" xfId="0" applyNumberFormat="1" applyFont="1" applyFill="1" applyAlignment="1">
      <alignment horizontal="right" vertical="center"/>
    </xf>
    <xf numFmtId="3" fontId="33" fillId="0" borderId="0" xfId="0" applyNumberFormat="1" applyFont="1" applyProtection="1">
      <protection locked="0"/>
    </xf>
    <xf numFmtId="3" fontId="33" fillId="0" borderId="0" xfId="0" applyNumberFormat="1" applyFont="1" applyFill="1" applyAlignment="1">
      <alignment horizontal="right" vertical="center"/>
    </xf>
    <xf numFmtId="3" fontId="34" fillId="0" borderId="0" xfId="0" applyNumberFormat="1" applyFont="1" applyFill="1"/>
    <xf numFmtId="3" fontId="33" fillId="0" borderId="0" xfId="0" applyNumberFormat="1" applyFont="1" applyFill="1"/>
    <xf numFmtId="0" fontId="23" fillId="0" borderId="56" xfId="0" applyFont="1" applyFill="1" applyBorder="1" applyAlignment="1">
      <alignment horizontal="center"/>
    </xf>
    <xf numFmtId="0" fontId="23" fillId="0" borderId="56" xfId="0" applyFont="1" applyFill="1" applyBorder="1"/>
    <xf numFmtId="0" fontId="23" fillId="0" borderId="51" xfId="0" applyFont="1" applyFill="1" applyBorder="1" applyAlignment="1">
      <alignment horizontal="center"/>
    </xf>
    <xf numFmtId="0" fontId="24" fillId="0" borderId="56" xfId="0" applyFont="1" applyFill="1" applyBorder="1" applyAlignment="1">
      <alignment horizontal="center"/>
    </xf>
    <xf numFmtId="0" fontId="23" fillId="0" borderId="51" xfId="0" applyFont="1" applyFill="1" applyBorder="1"/>
    <xf numFmtId="0" fontId="24" fillId="0" borderId="54" xfId="0" applyFont="1" applyFill="1" applyBorder="1"/>
    <xf numFmtId="0" fontId="23" fillId="0" borderId="49" xfId="0" applyFont="1" applyFill="1" applyBorder="1" applyAlignment="1">
      <alignment horizontal="center" vertical="center"/>
    </xf>
    <xf numFmtId="0" fontId="16" fillId="0" borderId="51" xfId="0" applyFont="1" applyFill="1" applyBorder="1" applyAlignment="1">
      <alignment horizontal="center" vertical="center" wrapText="1"/>
    </xf>
    <xf numFmtId="0" fontId="31" fillId="0" borderId="51" xfId="0" applyFont="1" applyFill="1" applyBorder="1"/>
    <xf numFmtId="0" fontId="16" fillId="0" borderId="51" xfId="0" applyFont="1" applyFill="1" applyBorder="1"/>
    <xf numFmtId="0" fontId="31" fillId="0" borderId="51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vertical="center"/>
    </xf>
    <xf numFmtId="3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23" fillId="0" borderId="52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 vertical="center"/>
    </xf>
    <xf numFmtId="3" fontId="23" fillId="0" borderId="0" xfId="0" applyNumberFormat="1" applyFont="1" applyBorder="1"/>
    <xf numFmtId="0" fontId="24" fillId="0" borderId="49" xfId="0" applyFont="1" applyFill="1" applyBorder="1" applyAlignment="1">
      <alignment horizontal="center" vertical="center"/>
    </xf>
    <xf numFmtId="2" fontId="24" fillId="0" borderId="0" xfId="0" applyNumberFormat="1" applyFont="1" applyFill="1" applyProtection="1">
      <protection locked="0"/>
    </xf>
    <xf numFmtId="2" fontId="24" fillId="0" borderId="0" xfId="0" applyNumberFormat="1" applyFont="1" applyFill="1"/>
    <xf numFmtId="3" fontId="24" fillId="0" borderId="0" xfId="0" applyNumberFormat="1" applyFont="1" applyFill="1" applyAlignment="1">
      <alignment horizontal="right" vertical="center"/>
    </xf>
    <xf numFmtId="4" fontId="23" fillId="0" borderId="0" xfId="0" applyNumberFormat="1" applyFont="1" applyFill="1"/>
    <xf numFmtId="4" fontId="24" fillId="0" borderId="0" xfId="0" applyNumberFormat="1" applyFont="1" applyFill="1"/>
    <xf numFmtId="4" fontId="23" fillId="0" borderId="0" xfId="0" applyNumberFormat="1" applyFont="1" applyFill="1" applyAlignment="1">
      <alignment horizontal="right" vertical="center"/>
    </xf>
    <xf numFmtId="4" fontId="39" fillId="0" borderId="0" xfId="0" applyNumberFormat="1" applyFont="1" applyFill="1" applyBorder="1"/>
    <xf numFmtId="4" fontId="23" fillId="0" borderId="0" xfId="0" applyNumberFormat="1" applyFont="1" applyFill="1" applyProtection="1">
      <protection locked="0"/>
    </xf>
    <xf numFmtId="4" fontId="24" fillId="0" borderId="0" xfId="0" applyNumberFormat="1" applyFont="1" applyFill="1" applyAlignment="1" applyProtection="1">
      <alignment horizontal="right" vertical="center"/>
      <protection locked="0"/>
    </xf>
    <xf numFmtId="4" fontId="24" fillId="0" borderId="0" xfId="0" applyNumberFormat="1" applyFont="1" applyFill="1" applyProtection="1">
      <protection locked="0"/>
    </xf>
    <xf numFmtId="4" fontId="24" fillId="0" borderId="0" xfId="0" applyNumberFormat="1" applyFont="1" applyFill="1" applyAlignment="1">
      <alignment horizontal="right" vertical="center"/>
    </xf>
    <xf numFmtId="3" fontId="24" fillId="0" borderId="0" xfId="0" applyNumberFormat="1" applyFont="1" applyFill="1"/>
    <xf numFmtId="3" fontId="24" fillId="0" borderId="0" xfId="0" applyNumberFormat="1" applyFont="1" applyFill="1" applyProtection="1">
      <protection locked="0"/>
    </xf>
    <xf numFmtId="3" fontId="23" fillId="0" borderId="0" xfId="0" applyNumberFormat="1" applyFont="1" applyFill="1" applyBorder="1" applyAlignment="1" applyProtection="1">
      <alignment horizontal="right" vertical="center"/>
      <protection locked="0"/>
    </xf>
    <xf numFmtId="3" fontId="23" fillId="0" borderId="0" xfId="0" applyNumberFormat="1" applyFont="1" applyFill="1" applyAlignment="1" applyProtection="1">
      <alignment horizontal="right" vertical="center"/>
      <protection locked="0"/>
    </xf>
    <xf numFmtId="3" fontId="23" fillId="0" borderId="49" xfId="0" applyNumberFormat="1" applyFont="1" applyFill="1" applyBorder="1" applyAlignment="1" applyProtection="1">
      <alignment horizontal="right" vertical="center"/>
    </xf>
    <xf numFmtId="3" fontId="24" fillId="0" borderId="49" xfId="0" applyNumberFormat="1" applyFont="1" applyFill="1" applyBorder="1" applyAlignment="1" applyProtection="1">
      <alignment horizontal="right" vertical="center"/>
    </xf>
    <xf numFmtId="0" fontId="24" fillId="0" borderId="0" xfId="0" applyFont="1" applyFill="1" applyBorder="1"/>
    <xf numFmtId="3" fontId="24" fillId="0" borderId="0" xfId="0" applyNumberFormat="1" applyFont="1" applyFill="1" applyBorder="1"/>
    <xf numFmtId="3" fontId="24" fillId="0" borderId="36" xfId="0" applyNumberFormat="1" applyFont="1" applyFill="1" applyBorder="1" applyAlignment="1" applyProtection="1">
      <alignment horizontal="right" vertical="center"/>
    </xf>
    <xf numFmtId="3" fontId="23" fillId="0" borderId="36" xfId="0" applyNumberFormat="1" applyFont="1" applyFill="1" applyBorder="1" applyAlignment="1" applyProtection="1">
      <alignment horizontal="right" vertical="center"/>
    </xf>
    <xf numFmtId="3" fontId="24" fillId="0" borderId="0" xfId="0" applyNumberFormat="1" applyFont="1" applyFill="1" applyAlignment="1" applyProtection="1">
      <alignment horizontal="right" vertical="center"/>
      <protection locked="0"/>
    </xf>
    <xf numFmtId="0" fontId="24" fillId="0" borderId="49" xfId="0" applyFont="1" applyFill="1" applyBorder="1"/>
    <xf numFmtId="3" fontId="24" fillId="0" borderId="0" xfId="0" applyNumberFormat="1" applyFont="1" applyBorder="1"/>
    <xf numFmtId="0" fontId="24" fillId="0" borderId="49" xfId="0" applyFont="1" applyFill="1" applyBorder="1" applyAlignment="1">
      <alignment vertical="center"/>
    </xf>
    <xf numFmtId="0" fontId="24" fillId="0" borderId="37" xfId="0" applyFont="1" applyFill="1" applyBorder="1" applyAlignment="1">
      <alignment horizontal="center" vertical="center"/>
    </xf>
    <xf numFmtId="3" fontId="24" fillId="0" borderId="35" xfId="0" applyNumberFormat="1" applyFont="1" applyFill="1" applyBorder="1" applyAlignment="1" applyProtection="1">
      <alignment horizontal="right" vertical="center"/>
    </xf>
    <xf numFmtId="0" fontId="27" fillId="0" borderId="0" xfId="0" applyFont="1" applyFill="1"/>
    <xf numFmtId="3" fontId="27" fillId="0" borderId="0" xfId="0" applyNumberFormat="1" applyFont="1" applyFill="1" applyAlignment="1">
      <alignment horizontal="right" vertical="center"/>
    </xf>
    <xf numFmtId="3" fontId="29" fillId="0" borderId="0" xfId="0" applyNumberFormat="1" applyFont="1" applyFill="1" applyAlignment="1">
      <alignment horizontal="right" vertical="center"/>
    </xf>
    <xf numFmtId="3" fontId="29" fillId="0" borderId="0" xfId="0" applyNumberFormat="1" applyFont="1" applyFill="1" applyAlignment="1" applyProtection="1">
      <alignment horizontal="right" vertical="center"/>
    </xf>
    <xf numFmtId="3" fontId="27" fillId="0" borderId="0" xfId="0" applyNumberFormat="1" applyFont="1" applyFill="1"/>
    <xf numFmtId="3" fontId="27" fillId="0" borderId="0" xfId="0" applyNumberFormat="1" applyFont="1" applyFill="1" applyAlignment="1" applyProtection="1">
      <alignment horizontal="right" vertical="center"/>
    </xf>
    <xf numFmtId="3" fontId="25" fillId="0" borderId="51" xfId="0" applyNumberFormat="1" applyFont="1" applyFill="1" applyBorder="1" applyAlignment="1">
      <alignment horizontal="center" vertical="center" wrapText="1"/>
    </xf>
    <xf numFmtId="0" fontId="25" fillId="0" borderId="51" xfId="0" applyFont="1" applyFill="1" applyBorder="1"/>
    <xf numFmtId="0" fontId="25" fillId="0" borderId="51" xfId="0" applyFont="1" applyFill="1" applyBorder="1" applyAlignment="1">
      <alignment horizontal="center"/>
    </xf>
    <xf numFmtId="0" fontId="25" fillId="0" borderId="50" xfId="0" applyFont="1" applyFill="1" applyBorder="1"/>
    <xf numFmtId="0" fontId="25" fillId="0" borderId="56" xfId="0" applyFont="1" applyFill="1" applyBorder="1"/>
    <xf numFmtId="0" fontId="15" fillId="0" borderId="51" xfId="0" applyFont="1" applyFill="1" applyBorder="1"/>
    <xf numFmtId="0" fontId="15" fillId="0" borderId="50" xfId="0" applyFont="1" applyFill="1" applyBorder="1"/>
    <xf numFmtId="0" fontId="15" fillId="0" borderId="51" xfId="0" applyFont="1" applyFill="1" applyBorder="1" applyAlignment="1">
      <alignment horizontal="center"/>
    </xf>
    <xf numFmtId="0" fontId="15" fillId="0" borderId="54" xfId="0" applyFont="1" applyFill="1" applyBorder="1"/>
    <xf numFmtId="0" fontId="15" fillId="0" borderId="54" xfId="0" applyFont="1" applyFill="1" applyBorder="1" applyAlignment="1">
      <alignment horizontal="center"/>
    </xf>
    <xf numFmtId="0" fontId="28" fillId="0" borderId="49" xfId="0" applyFont="1" applyFill="1" applyBorder="1" applyAlignment="1">
      <alignment horizontal="center"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15" fillId="0" borderId="51" xfId="0" applyFont="1" applyFill="1" applyBorder="1" applyAlignment="1">
      <alignment horizontal="center" vertical="center" wrapText="1"/>
    </xf>
    <xf numFmtId="0" fontId="25" fillId="0" borderId="52" xfId="0" applyFont="1" applyFill="1" applyBorder="1" applyAlignment="1">
      <alignment horizontal="center" vertical="center" wrapText="1"/>
    </xf>
    <xf numFmtId="3" fontId="25" fillId="0" borderId="53" xfId="0" applyNumberFormat="1" applyFont="1" applyFill="1" applyBorder="1" applyAlignment="1">
      <alignment horizontal="center" vertical="center" wrapText="1"/>
    </xf>
    <xf numFmtId="0" fontId="25" fillId="0" borderId="54" xfId="0" applyFont="1" applyFill="1" applyBorder="1" applyAlignment="1">
      <alignment horizontal="center" vertical="center"/>
    </xf>
    <xf numFmtId="0" fontId="25" fillId="0" borderId="51" xfId="0" applyFont="1" applyFill="1" applyBorder="1" applyAlignment="1">
      <alignment horizontal="center" vertical="center"/>
    </xf>
    <xf numFmtId="0" fontId="15" fillId="0" borderId="54" xfId="0" applyFont="1" applyFill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3" fontId="41" fillId="0" borderId="0" xfId="0" applyNumberFormat="1" applyFont="1" applyFill="1" applyBorder="1"/>
    <xf numFmtId="2" fontId="15" fillId="0" borderId="0" xfId="0" applyNumberFormat="1" applyFont="1" applyFill="1" applyProtection="1"/>
    <xf numFmtId="4" fontId="15" fillId="0" borderId="0" xfId="0" applyNumberFormat="1" applyFont="1" applyFill="1" applyAlignment="1">
      <alignment horizontal="right" vertical="center"/>
    </xf>
    <xf numFmtId="4" fontId="15" fillId="0" borderId="0" xfId="0" applyNumberFormat="1" applyFont="1" applyFill="1"/>
    <xf numFmtId="3" fontId="15" fillId="11" borderId="0" xfId="0" applyNumberFormat="1" applyFont="1" applyFill="1" applyProtection="1"/>
    <xf numFmtId="3" fontId="25" fillId="0" borderId="49" xfId="0" applyNumberFormat="1" applyFont="1" applyFill="1" applyBorder="1" applyAlignment="1" applyProtection="1">
      <alignment horizontal="right" vertical="center"/>
    </xf>
    <xf numFmtId="3" fontId="25" fillId="3" borderId="0" xfId="0" applyNumberFormat="1" applyFont="1" applyFill="1" applyAlignment="1" applyProtection="1">
      <alignment horizontal="right" vertical="center"/>
    </xf>
    <xf numFmtId="3" fontId="25" fillId="0" borderId="0" xfId="0" applyNumberFormat="1" applyFont="1" applyBorder="1" applyAlignment="1" applyProtection="1">
      <alignment horizontal="right" vertical="center"/>
    </xf>
    <xf numFmtId="3" fontId="25" fillId="3" borderId="0" xfId="0" applyNumberFormat="1" applyFont="1" applyFill="1" applyBorder="1" applyAlignment="1" applyProtection="1">
      <alignment horizontal="right" vertical="center"/>
    </xf>
    <xf numFmtId="3" fontId="33" fillId="0" borderId="0" xfId="0" applyNumberFormat="1" applyFont="1" applyFill="1" applyProtection="1"/>
    <xf numFmtId="0" fontId="34" fillId="0" borderId="0" xfId="0" applyFont="1" applyFill="1" applyAlignment="1">
      <alignment vertical="center"/>
    </xf>
    <xf numFmtId="0" fontId="15" fillId="0" borderId="50" xfId="0" applyFont="1" applyFill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15" fillId="0" borderId="55" xfId="0" applyFont="1" applyFill="1" applyBorder="1" applyAlignment="1">
      <alignment horizontal="center" vertical="center"/>
    </xf>
    <xf numFmtId="0" fontId="23" fillId="0" borderId="51" xfId="0" applyFont="1" applyBorder="1" applyAlignment="1">
      <alignment horizontal="center" vertical="center" wrapText="1"/>
    </xf>
    <xf numFmtId="0" fontId="15" fillId="0" borderId="53" xfId="0" applyFont="1" applyFill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2" fontId="42" fillId="0" borderId="0" xfId="0" applyNumberFormat="1" applyFont="1" applyFill="1" applyBorder="1"/>
    <xf numFmtId="4" fontId="25" fillId="0" borderId="0" xfId="0" applyNumberFormat="1" applyFont="1" applyFill="1" applyProtection="1"/>
    <xf numFmtId="3" fontId="25" fillId="0" borderId="0" xfId="0" applyNumberFormat="1" applyFont="1" applyFill="1" applyProtection="1"/>
    <xf numFmtId="4" fontId="25" fillId="0" borderId="0" xfId="0" applyNumberFormat="1" applyFont="1" applyProtection="1"/>
    <xf numFmtId="4" fontId="15" fillId="0" borderId="0" xfId="0" applyNumberFormat="1" applyFont="1" applyFill="1" applyAlignment="1" applyProtection="1">
      <alignment horizontal="right" vertical="center"/>
      <protection locked="0"/>
    </xf>
    <xf numFmtId="4" fontId="15" fillId="11" borderId="0" xfId="0" applyNumberFormat="1" applyFont="1" applyFill="1" applyAlignment="1" applyProtection="1">
      <alignment horizontal="right" vertical="center"/>
      <protection locked="0"/>
    </xf>
    <xf numFmtId="4" fontId="41" fillId="0" borderId="0" xfId="0" applyNumberFormat="1" applyFont="1" applyFill="1" applyBorder="1"/>
    <xf numFmtId="3" fontId="15" fillId="3" borderId="0" xfId="0" applyNumberFormat="1" applyFont="1" applyFill="1" applyAlignment="1" applyProtection="1">
      <alignment horizontal="right" vertical="center"/>
      <protection locked="0"/>
    </xf>
    <xf numFmtId="3" fontId="15" fillId="9" borderId="0" xfId="0" applyNumberFormat="1" applyFont="1" applyFill="1" applyProtection="1"/>
    <xf numFmtId="3" fontId="15" fillId="0" borderId="49" xfId="0" applyNumberFormat="1" applyFont="1" applyFill="1" applyBorder="1" applyProtection="1">
      <protection locked="0"/>
    </xf>
    <xf numFmtId="3" fontId="25" fillId="0" borderId="49" xfId="0" applyNumberFormat="1" applyFont="1" applyFill="1" applyBorder="1" applyProtection="1">
      <protection locked="0"/>
    </xf>
    <xf numFmtId="0" fontId="15" fillId="0" borderId="52" xfId="0" applyFont="1" applyBorder="1" applyAlignment="1">
      <alignment vertical="center"/>
    </xf>
    <xf numFmtId="3" fontId="23" fillId="0" borderId="0" xfId="1" applyNumberFormat="1" applyFont="1" applyFill="1" applyBorder="1" applyAlignment="1" applyProtection="1"/>
    <xf numFmtId="0" fontId="43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3" fontId="24" fillId="0" borderId="0" xfId="0" applyNumberFormat="1" applyFont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3" fontId="23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right"/>
    </xf>
    <xf numFmtId="0" fontId="24" fillId="0" borderId="2" xfId="0" applyFont="1" applyBorder="1" applyAlignment="1">
      <alignment horizontal="center" vertical="center" wrapText="1"/>
    </xf>
    <xf numFmtId="3" fontId="24" fillId="0" borderId="3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Alignment="1">
      <alignment vertical="center"/>
    </xf>
    <xf numFmtId="3" fontId="24" fillId="0" borderId="0" xfId="1" applyNumberFormat="1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wrapText="1"/>
      <protection locked="0"/>
    </xf>
    <xf numFmtId="3" fontId="23" fillId="2" borderId="0" xfId="0" applyNumberFormat="1" applyFont="1" applyFill="1" applyBorder="1" applyAlignment="1" applyProtection="1">
      <protection locked="0"/>
    </xf>
    <xf numFmtId="3" fontId="23" fillId="0" borderId="0" xfId="0" applyNumberFormat="1" applyFont="1" applyFill="1" applyBorder="1" applyAlignment="1" applyProtection="1">
      <alignment horizontal="right"/>
      <protection locked="0"/>
    </xf>
    <xf numFmtId="0" fontId="23" fillId="0" borderId="0" xfId="0" applyFont="1" applyFill="1" applyBorder="1" applyAlignment="1" applyProtection="1">
      <protection locked="0"/>
    </xf>
    <xf numFmtId="3" fontId="23" fillId="2" borderId="0" xfId="0" applyNumberFormat="1" applyFont="1" applyFill="1" applyBorder="1" applyAlignment="1" applyProtection="1">
      <alignment vertical="center"/>
      <protection locked="0"/>
    </xf>
    <xf numFmtId="0" fontId="23" fillId="0" borderId="0" xfId="7" applyFont="1" applyFill="1" applyBorder="1" applyAlignment="1" applyProtection="1">
      <protection locked="0"/>
    </xf>
    <xf numFmtId="0" fontId="11" fillId="0" borderId="0" xfId="7" applyFont="1" applyFill="1" applyBorder="1" applyAlignment="1" applyProtection="1">
      <alignment horizontal="left" wrapText="1" indent="1"/>
      <protection locked="0"/>
    </xf>
    <xf numFmtId="0" fontId="44" fillId="0" borderId="0" xfId="7" applyFont="1" applyFill="1" applyBorder="1" applyAlignment="1" applyProtection="1">
      <alignment wrapText="1"/>
      <protection locked="0"/>
    </xf>
    <xf numFmtId="3" fontId="23" fillId="2" borderId="0" xfId="0" applyNumberFormat="1" applyFont="1" applyFill="1" applyBorder="1" applyAlignment="1" applyProtection="1">
      <alignment vertical="top"/>
      <protection locked="0"/>
    </xf>
    <xf numFmtId="3" fontId="23" fillId="0" borderId="0" xfId="0" applyNumberFormat="1" applyFont="1" applyFill="1" applyBorder="1" applyAlignment="1" applyProtection="1">
      <alignment vertical="top"/>
      <protection locked="0"/>
    </xf>
    <xf numFmtId="49" fontId="24" fillId="0" borderId="0" xfId="0" applyNumberFormat="1" applyFont="1" applyFill="1" applyBorder="1" applyAlignment="1" applyProtection="1">
      <alignment horizontal="left" indent="2"/>
      <protection locked="0"/>
    </xf>
    <xf numFmtId="49" fontId="24" fillId="0" borderId="0" xfId="0" applyNumberFormat="1" applyFont="1" applyFill="1" applyBorder="1" applyAlignment="1" applyProtection="1">
      <alignment horizontal="right"/>
      <protection locked="0"/>
    </xf>
    <xf numFmtId="3" fontId="23" fillId="0" borderId="0" xfId="0" applyNumberFormat="1" applyFont="1" applyFill="1" applyBorder="1" applyAlignment="1" applyProtection="1">
      <protection locked="0"/>
    </xf>
    <xf numFmtId="3" fontId="24" fillId="0" borderId="0" xfId="0" applyNumberFormat="1" applyFont="1" applyFill="1" applyBorder="1" applyAlignment="1" applyProtection="1">
      <alignment horizontal="right"/>
      <protection locked="0"/>
    </xf>
    <xf numFmtId="3" fontId="23" fillId="2" borderId="0" xfId="0" applyNumberFormat="1" applyFont="1" applyFill="1" applyBorder="1" applyProtection="1">
      <protection locked="0"/>
    </xf>
    <xf numFmtId="3" fontId="23" fillId="2" borderId="0" xfId="1" applyNumberFormat="1" applyFont="1" applyFill="1" applyBorder="1" applyAlignment="1" applyProtection="1"/>
    <xf numFmtId="3" fontId="23" fillId="2" borderId="0" xfId="0" applyNumberFormat="1" applyFont="1" applyFill="1" applyBorder="1"/>
    <xf numFmtId="0" fontId="24" fillId="0" borderId="0" xfId="0" applyFont="1" applyFill="1" applyBorder="1" applyAlignment="1" applyProtection="1">
      <alignment horizontal="left" indent="2"/>
      <protection locked="0"/>
    </xf>
    <xf numFmtId="0" fontId="16" fillId="0" borderId="0" xfId="0" applyFont="1" applyBorder="1"/>
    <xf numFmtId="0" fontId="31" fillId="0" borderId="0" xfId="0" applyFont="1"/>
    <xf numFmtId="0" fontId="20" fillId="0" borderId="0" xfId="0" applyFont="1" applyBorder="1" applyAlignment="1">
      <alignment horizontal="center" vertical="center" wrapText="1"/>
    </xf>
    <xf numFmtId="0" fontId="23" fillId="0" borderId="0" xfId="0" applyFont="1" applyBorder="1" applyAlignment="1"/>
    <xf numFmtId="0" fontId="23" fillId="0" borderId="0" xfId="0" applyFont="1" applyAlignment="1"/>
    <xf numFmtId="0" fontId="16" fillId="0" borderId="0" xfId="0" applyFont="1" applyBorder="1" applyAlignment="1">
      <alignment horizontal="center" vertical="center" wrapText="1"/>
    </xf>
    <xf numFmtId="3" fontId="16" fillId="0" borderId="0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right"/>
    </xf>
    <xf numFmtId="3" fontId="24" fillId="0" borderId="3" xfId="0" applyNumberFormat="1" applyFont="1" applyBorder="1" applyAlignment="1">
      <alignment horizontal="center" vertical="center"/>
    </xf>
    <xf numFmtId="3" fontId="24" fillId="0" borderId="3" xfId="0" applyNumberFormat="1" applyFont="1" applyFill="1" applyBorder="1" applyAlignment="1">
      <alignment horizontal="center" vertical="center"/>
    </xf>
    <xf numFmtId="3" fontId="24" fillId="0" borderId="15" xfId="0" applyNumberFormat="1" applyFont="1" applyBorder="1" applyAlignment="1">
      <alignment horizontal="center" vertical="center"/>
    </xf>
    <xf numFmtId="3" fontId="24" fillId="0" borderId="32" xfId="0" applyNumberFormat="1" applyFont="1" applyBorder="1" applyAlignment="1">
      <alignment horizontal="center" vertical="center"/>
    </xf>
    <xf numFmtId="3" fontId="24" fillId="0" borderId="4" xfId="0" applyNumberFormat="1" applyFont="1" applyBorder="1" applyAlignment="1">
      <alignment horizontal="center" vertical="center" wrapText="1"/>
    </xf>
    <xf numFmtId="3" fontId="24" fillId="0" borderId="2" xfId="0" applyNumberFormat="1" applyFont="1" applyBorder="1" applyAlignment="1">
      <alignment horizontal="center" vertical="center" wrapText="1"/>
    </xf>
    <xf numFmtId="3" fontId="24" fillId="6" borderId="32" xfId="0" applyNumberFormat="1" applyFont="1" applyFill="1" applyBorder="1" applyAlignment="1">
      <alignment horizontal="center" vertical="center" wrapText="1"/>
    </xf>
    <xf numFmtId="3" fontId="24" fillId="6" borderId="4" xfId="0" applyNumberFormat="1" applyFont="1" applyFill="1" applyBorder="1" applyAlignment="1">
      <alignment horizontal="center" vertical="center" wrapText="1"/>
    </xf>
    <xf numFmtId="3" fontId="24" fillId="0" borderId="32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3" fontId="24" fillId="0" borderId="4" xfId="0" applyNumberFormat="1" applyFont="1" applyFill="1" applyBorder="1" applyAlignment="1">
      <alignment horizontal="center" vertical="center"/>
    </xf>
    <xf numFmtId="3" fontId="24" fillId="0" borderId="4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3" fontId="24" fillId="0" borderId="4" xfId="0" applyNumberFormat="1" applyFont="1" applyBorder="1" applyAlignment="1">
      <alignment horizontal="center" vertical="center"/>
    </xf>
    <xf numFmtId="0" fontId="24" fillId="6" borderId="28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24" fillId="0" borderId="16" xfId="0" applyFont="1" applyBorder="1" applyAlignment="1"/>
    <xf numFmtId="0" fontId="24" fillId="0" borderId="18" xfId="0" applyFont="1" applyBorder="1" applyAlignment="1">
      <alignment wrapText="1"/>
    </xf>
    <xf numFmtId="3" fontId="24" fillId="0" borderId="33" xfId="0" applyNumberFormat="1" applyFont="1" applyBorder="1" applyAlignment="1">
      <alignment wrapText="1"/>
    </xf>
    <xf numFmtId="3" fontId="24" fillId="0" borderId="15" xfId="0" applyNumberFormat="1" applyFont="1" applyBorder="1" applyAlignment="1">
      <alignment wrapText="1"/>
    </xf>
    <xf numFmtId="3" fontId="24" fillId="0" borderId="18" xfId="0" applyNumberFormat="1" applyFont="1" applyBorder="1" applyAlignment="1">
      <alignment wrapText="1"/>
    </xf>
    <xf numFmtId="3" fontId="43" fillId="0" borderId="18" xfId="0" applyNumberFormat="1" applyFont="1" applyBorder="1" applyAlignment="1">
      <alignment horizontal="center" vertical="center"/>
    </xf>
    <xf numFmtId="3" fontId="43" fillId="0" borderId="16" xfId="0" applyNumberFormat="1" applyFont="1" applyBorder="1" applyAlignment="1">
      <alignment horizontal="center" vertical="center"/>
    </xf>
    <xf numFmtId="3" fontId="43" fillId="0" borderId="18" xfId="0" applyNumberFormat="1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43" fillId="6" borderId="40" xfId="0" applyFont="1" applyFill="1" applyBorder="1" applyAlignment="1">
      <alignment horizontal="center" vertical="center" wrapText="1"/>
    </xf>
    <xf numFmtId="0" fontId="43" fillId="6" borderId="15" xfId="0" applyFont="1" applyFill="1" applyBorder="1" applyAlignment="1">
      <alignment horizontal="center" vertical="center"/>
    </xf>
    <xf numFmtId="0" fontId="43" fillId="6" borderId="15" xfId="0" applyFont="1" applyFill="1" applyBorder="1" applyAlignment="1">
      <alignment horizontal="center" vertical="center" wrapText="1"/>
    </xf>
    <xf numFmtId="3" fontId="43" fillId="0" borderId="33" xfId="0" applyNumberFormat="1" applyFont="1" applyFill="1" applyBorder="1" applyAlignment="1">
      <alignment horizontal="center" vertical="center"/>
    </xf>
    <xf numFmtId="3" fontId="43" fillId="0" borderId="16" xfId="0" applyNumberFormat="1" applyFont="1" applyFill="1" applyBorder="1" applyAlignment="1">
      <alignment horizontal="center" vertical="center"/>
    </xf>
    <xf numFmtId="3" fontId="43" fillId="0" borderId="18" xfId="0" applyNumberFormat="1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center" vertical="center"/>
    </xf>
    <xf numFmtId="0" fontId="43" fillId="0" borderId="15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3" fontId="43" fillId="0" borderId="33" xfId="0" applyNumberFormat="1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24" fillId="0" borderId="22" xfId="0" applyFont="1" applyBorder="1" applyAlignment="1"/>
    <xf numFmtId="0" fontId="23" fillId="0" borderId="23" xfId="0" applyFont="1" applyBorder="1" applyAlignment="1">
      <alignment wrapText="1"/>
    </xf>
    <xf numFmtId="3" fontId="23" fillId="0" borderId="7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wrapText="1"/>
    </xf>
    <xf numFmtId="3" fontId="23" fillId="0" borderId="23" xfId="0" applyNumberFormat="1" applyFont="1" applyBorder="1" applyAlignment="1">
      <alignment wrapText="1"/>
    </xf>
    <xf numFmtId="3" fontId="43" fillId="0" borderId="23" xfId="0" applyNumberFormat="1" applyFont="1" applyBorder="1" applyAlignment="1">
      <alignment horizontal="center" vertical="center"/>
    </xf>
    <xf numFmtId="0" fontId="45" fillId="0" borderId="22" xfId="0" applyFont="1" applyBorder="1" applyAlignment="1"/>
    <xf numFmtId="3" fontId="43" fillId="0" borderId="23" xfId="0" applyNumberFormat="1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 wrapText="1"/>
    </xf>
    <xf numFmtId="0" fontId="43" fillId="6" borderId="19" xfId="0" applyFont="1" applyFill="1" applyBorder="1" applyAlignment="1">
      <alignment horizontal="center" vertical="center" wrapText="1"/>
    </xf>
    <xf numFmtId="0" fontId="43" fillId="6" borderId="0" xfId="0" applyFont="1" applyFill="1" applyBorder="1" applyAlignment="1">
      <alignment horizontal="center" vertical="center"/>
    </xf>
    <xf numFmtId="0" fontId="43" fillId="6" borderId="0" xfId="0" applyFont="1" applyFill="1" applyBorder="1" applyAlignment="1">
      <alignment horizontal="center" vertical="center" wrapText="1"/>
    </xf>
    <xf numFmtId="3" fontId="43" fillId="0" borderId="7" xfId="0" applyNumberFormat="1" applyFont="1" applyFill="1" applyBorder="1" applyAlignment="1">
      <alignment horizontal="center" vertical="center"/>
    </xf>
    <xf numFmtId="3" fontId="43" fillId="0" borderId="22" xfId="0" applyNumberFormat="1" applyFont="1" applyFill="1" applyBorder="1" applyAlignment="1">
      <alignment horizontal="center" vertical="center"/>
    </xf>
    <xf numFmtId="3" fontId="43" fillId="0" borderId="23" xfId="0" applyNumberFormat="1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 wrapText="1"/>
    </xf>
    <xf numFmtId="0" fontId="43" fillId="0" borderId="23" xfId="0" applyFont="1" applyFill="1" applyBorder="1" applyAlignment="1">
      <alignment horizontal="center" vertical="center" wrapText="1"/>
    </xf>
    <xf numFmtId="3" fontId="43" fillId="0" borderId="7" xfId="0" applyNumberFormat="1" applyFont="1" applyBorder="1" applyAlignment="1">
      <alignment horizontal="center" vertical="center"/>
    </xf>
    <xf numFmtId="3" fontId="43" fillId="0" borderId="22" xfId="0" applyNumberFormat="1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24" fillId="0" borderId="57" xfId="0" applyFont="1" applyFill="1" applyBorder="1" applyAlignment="1">
      <alignment horizontal="left" vertical="center"/>
    </xf>
    <xf numFmtId="0" fontId="23" fillId="0" borderId="58" xfId="0" applyFont="1" applyFill="1" applyBorder="1" applyAlignment="1">
      <alignment wrapText="1"/>
    </xf>
    <xf numFmtId="3" fontId="23" fillId="0" borderId="9" xfId="0" applyNumberFormat="1" applyFont="1" applyFill="1" applyBorder="1" applyAlignment="1">
      <alignment wrapText="1"/>
    </xf>
    <xf numFmtId="3" fontId="23" fillId="0" borderId="25" xfId="0" applyNumberFormat="1" applyFont="1" applyFill="1" applyBorder="1" applyAlignment="1">
      <alignment wrapText="1"/>
    </xf>
    <xf numFmtId="3" fontId="23" fillId="0" borderId="58" xfId="0" applyNumberFormat="1" applyFont="1" applyFill="1" applyBorder="1" applyAlignment="1">
      <alignment wrapText="1"/>
    </xf>
    <xf numFmtId="3" fontId="24" fillId="0" borderId="58" xfId="0" applyNumberFormat="1" applyFont="1" applyBorder="1"/>
    <xf numFmtId="3" fontId="24" fillId="0" borderId="57" xfId="0" applyNumberFormat="1" applyFont="1" applyBorder="1"/>
    <xf numFmtId="3" fontId="24" fillId="0" borderId="25" xfId="0" applyNumberFormat="1" applyFont="1" applyBorder="1"/>
    <xf numFmtId="3" fontId="24" fillId="2" borderId="24" xfId="0" applyNumberFormat="1" applyFont="1" applyFill="1" applyBorder="1"/>
    <xf numFmtId="3" fontId="24" fillId="2" borderId="25" xfId="0" applyNumberFormat="1" applyFont="1" applyFill="1" applyBorder="1"/>
    <xf numFmtId="3" fontId="24" fillId="0" borderId="9" xfId="0" applyNumberFormat="1" applyFont="1" applyFill="1" applyBorder="1"/>
    <xf numFmtId="3" fontId="24" fillId="0" borderId="57" xfId="0" applyNumberFormat="1" applyFont="1" applyFill="1" applyBorder="1"/>
    <xf numFmtId="3" fontId="24" fillId="0" borderId="58" xfId="0" applyNumberFormat="1" applyFont="1" applyFill="1" applyBorder="1"/>
    <xf numFmtId="3" fontId="24" fillId="0" borderId="25" xfId="0" applyNumberFormat="1" applyFont="1" applyFill="1" applyBorder="1"/>
    <xf numFmtId="3" fontId="24" fillId="0" borderId="9" xfId="0" applyNumberFormat="1" applyFont="1" applyBorder="1"/>
    <xf numFmtId="0" fontId="16" fillId="0" borderId="23" xfId="0" applyFont="1" applyFill="1" applyBorder="1" applyAlignment="1" applyProtection="1">
      <alignment wrapText="1"/>
      <protection locked="0"/>
    </xf>
    <xf numFmtId="3" fontId="23" fillId="0" borderId="7" xfId="0" applyNumberFormat="1" applyFont="1" applyFill="1" applyBorder="1" applyAlignment="1" applyProtection="1">
      <alignment wrapText="1"/>
      <protection locked="0"/>
    </xf>
    <xf numFmtId="3" fontId="23" fillId="0" borderId="0" xfId="0" applyNumberFormat="1" applyFont="1" applyFill="1" applyBorder="1" applyAlignment="1" applyProtection="1">
      <alignment wrapText="1"/>
      <protection locked="0"/>
    </xf>
    <xf numFmtId="3" fontId="23" fillId="0" borderId="23" xfId="0" applyNumberFormat="1" applyFont="1" applyFill="1" applyBorder="1" applyAlignment="1" applyProtection="1">
      <alignment wrapText="1"/>
      <protection locked="0"/>
    </xf>
    <xf numFmtId="3" fontId="23" fillId="0" borderId="23" xfId="0" applyNumberFormat="1" applyFont="1" applyBorder="1"/>
    <xf numFmtId="3" fontId="23" fillId="0" borderId="22" xfId="0" applyNumberFormat="1" applyFont="1" applyBorder="1"/>
    <xf numFmtId="3" fontId="24" fillId="2" borderId="19" xfId="0" applyNumberFormat="1" applyFont="1" applyFill="1" applyBorder="1"/>
    <xf numFmtId="3" fontId="23" fillId="0" borderId="7" xfId="0" applyNumberFormat="1" applyFont="1" applyFill="1" applyBorder="1"/>
    <xf numFmtId="3" fontId="23" fillId="0" borderId="22" xfId="0" applyNumberFormat="1" applyFont="1" applyFill="1" applyBorder="1"/>
    <xf numFmtId="3" fontId="23" fillId="0" borderId="7" xfId="0" applyNumberFormat="1" applyFont="1" applyBorder="1"/>
    <xf numFmtId="3" fontId="24" fillId="0" borderId="23" xfId="0" applyNumberFormat="1" applyFont="1" applyBorder="1" applyAlignment="1">
      <alignment horizontal="center" vertical="center"/>
    </xf>
    <xf numFmtId="0" fontId="23" fillId="0" borderId="22" xfId="0" applyFont="1" applyBorder="1" applyAlignment="1"/>
    <xf numFmtId="3" fontId="24" fillId="0" borderId="23" xfId="0" applyNumberFormat="1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6" borderId="19" xfId="0" applyFont="1" applyFill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 wrapText="1"/>
    </xf>
    <xf numFmtId="3" fontId="24" fillId="0" borderId="7" xfId="0" applyNumberFormat="1" applyFont="1" applyFill="1" applyBorder="1" applyAlignment="1">
      <alignment horizontal="center" vertical="center"/>
    </xf>
    <xf numFmtId="3" fontId="24" fillId="0" borderId="22" xfId="0" applyNumberFormat="1" applyFont="1" applyFill="1" applyBorder="1" applyAlignment="1">
      <alignment horizontal="center" vertical="center"/>
    </xf>
    <xf numFmtId="3" fontId="24" fillId="0" borderId="23" xfId="0" applyNumberFormat="1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3" fontId="24" fillId="0" borderId="7" xfId="0" applyNumberFormat="1" applyFont="1" applyBorder="1" applyAlignment="1">
      <alignment horizontal="center" vertical="center"/>
    </xf>
    <xf numFmtId="3" fontId="24" fillId="0" borderId="22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4" fillId="0" borderId="23" xfId="0" applyFont="1" applyFill="1" applyBorder="1" applyAlignment="1" applyProtection="1">
      <alignment wrapText="1"/>
      <protection locked="0"/>
    </xf>
    <xf numFmtId="3" fontId="46" fillId="0" borderId="22" xfId="0" applyNumberFormat="1" applyFont="1" applyBorder="1" applyAlignment="1"/>
    <xf numFmtId="0" fontId="24" fillId="0" borderId="22" xfId="0" applyFont="1" applyFill="1" applyBorder="1" applyAlignment="1"/>
    <xf numFmtId="3" fontId="24" fillId="0" borderId="19" xfId="0" applyNumberFormat="1" applyFont="1" applyFill="1" applyBorder="1"/>
    <xf numFmtId="3" fontId="38" fillId="0" borderId="9" xfId="0" applyNumberFormat="1" applyFont="1" applyBorder="1"/>
    <xf numFmtId="3" fontId="38" fillId="0" borderId="57" xfId="0" applyNumberFormat="1" applyFont="1" applyBorder="1"/>
    <xf numFmtId="3" fontId="38" fillId="0" borderId="58" xfId="0" applyNumberFormat="1" applyFont="1" applyBorder="1"/>
    <xf numFmtId="3" fontId="46" fillId="0" borderId="22" xfId="0" applyNumberFormat="1" applyFont="1" applyBorder="1"/>
    <xf numFmtId="0" fontId="16" fillId="0" borderId="23" xfId="0" applyFont="1" applyFill="1" applyBorder="1" applyAlignment="1">
      <alignment wrapText="1"/>
    </xf>
    <xf numFmtId="3" fontId="23" fillId="0" borderId="7" xfId="0" applyNumberFormat="1" applyFont="1" applyFill="1" applyBorder="1" applyAlignment="1">
      <alignment wrapText="1"/>
    </xf>
    <xf numFmtId="3" fontId="23" fillId="0" borderId="23" xfId="0" applyNumberFormat="1" applyFont="1" applyFill="1" applyBorder="1" applyAlignment="1">
      <alignment wrapText="1"/>
    </xf>
    <xf numFmtId="3" fontId="28" fillId="0" borderId="7" xfId="0" applyNumberFormat="1" applyFont="1" applyBorder="1"/>
    <xf numFmtId="3" fontId="47" fillId="0" borderId="20" xfId="0" applyNumberFormat="1" applyFont="1" applyBorder="1"/>
    <xf numFmtId="3" fontId="47" fillId="0" borderId="23" xfId="0" applyNumberFormat="1" applyFont="1" applyBorder="1"/>
    <xf numFmtId="3" fontId="28" fillId="0" borderId="22" xfId="0" applyNumberFormat="1" applyFont="1" applyBorder="1"/>
    <xf numFmtId="3" fontId="28" fillId="0" borderId="0" xfId="0" applyNumberFormat="1" applyFont="1" applyBorder="1"/>
    <xf numFmtId="0" fontId="23" fillId="0" borderId="22" xfId="0" applyFont="1" applyBorder="1"/>
    <xf numFmtId="0" fontId="16" fillId="0" borderId="22" xfId="0" applyFont="1" applyFill="1" applyBorder="1" applyAlignment="1" applyProtection="1">
      <alignment horizontal="center" wrapText="1"/>
      <protection locked="0"/>
    </xf>
    <xf numFmtId="0" fontId="16" fillId="0" borderId="21" xfId="0" applyFont="1" applyFill="1" applyBorder="1" applyAlignment="1" applyProtection="1">
      <alignment horizontal="center" wrapText="1"/>
      <protection locked="0"/>
    </xf>
    <xf numFmtId="0" fontId="16" fillId="0" borderId="0" xfId="0" applyFont="1" applyFill="1" applyBorder="1" applyAlignment="1" applyProtection="1">
      <alignment horizontal="center" wrapText="1"/>
      <protection locked="0"/>
    </xf>
    <xf numFmtId="0" fontId="24" fillId="0" borderId="22" xfId="0" applyFont="1" applyFill="1" applyBorder="1" applyAlignment="1">
      <alignment horizontal="left" vertical="center"/>
    </xf>
    <xf numFmtId="3" fontId="24" fillId="0" borderId="22" xfId="0" applyNumberFormat="1" applyFont="1" applyFill="1" applyBorder="1"/>
    <xf numFmtId="3" fontId="23" fillId="0" borderId="21" xfId="0" applyNumberFormat="1" applyFont="1" applyFill="1" applyBorder="1"/>
    <xf numFmtId="0" fontId="16" fillId="0" borderId="19" xfId="0" applyFont="1" applyFill="1" applyBorder="1" applyAlignment="1" applyProtection="1">
      <alignment wrapText="1"/>
      <protection locked="0"/>
    </xf>
    <xf numFmtId="3" fontId="24" fillId="2" borderId="57" xfId="0" applyNumberFormat="1" applyFont="1" applyFill="1" applyBorder="1"/>
    <xf numFmtId="3" fontId="24" fillId="2" borderId="26" xfId="0" applyNumberFormat="1" applyFont="1" applyFill="1" applyBorder="1"/>
    <xf numFmtId="0" fontId="16" fillId="0" borderId="58" xfId="0" applyFont="1" applyFill="1" applyBorder="1" applyAlignment="1" applyProtection="1">
      <alignment wrapText="1"/>
      <protection locked="0"/>
    </xf>
    <xf numFmtId="3" fontId="23" fillId="0" borderId="9" xfId="0" applyNumberFormat="1" applyFont="1" applyFill="1" applyBorder="1" applyAlignment="1" applyProtection="1">
      <alignment wrapText="1"/>
      <protection locked="0"/>
    </xf>
    <xf numFmtId="3" fontId="23" fillId="0" borderId="25" xfId="0" applyNumberFormat="1" applyFont="1" applyFill="1" applyBorder="1" applyAlignment="1" applyProtection="1">
      <alignment wrapText="1"/>
      <protection locked="0"/>
    </xf>
    <xf numFmtId="3" fontId="23" fillId="0" borderId="58" xfId="0" applyNumberFormat="1" applyFont="1" applyFill="1" applyBorder="1" applyAlignment="1" applyProtection="1">
      <alignment wrapText="1"/>
      <protection locked="0"/>
    </xf>
    <xf numFmtId="3" fontId="24" fillId="2" borderId="22" xfId="0" applyNumberFormat="1" applyFont="1" applyFill="1" applyBorder="1"/>
    <xf numFmtId="3" fontId="23" fillId="2" borderId="21" xfId="0" applyNumberFormat="1" applyFont="1" applyFill="1" applyBorder="1"/>
    <xf numFmtId="0" fontId="16" fillId="0" borderId="22" xfId="0" applyFont="1" applyFill="1" applyBorder="1" applyAlignment="1" applyProtection="1">
      <alignment wrapText="1"/>
      <protection locked="0"/>
    </xf>
    <xf numFmtId="0" fontId="48" fillId="0" borderId="23" xfId="0" applyFont="1" applyFill="1" applyBorder="1" applyAlignment="1" applyProtection="1">
      <alignment wrapText="1"/>
      <protection locked="0"/>
    </xf>
    <xf numFmtId="3" fontId="24" fillId="6" borderId="22" xfId="0" applyNumberFormat="1" applyFont="1" applyFill="1" applyBorder="1"/>
    <xf numFmtId="3" fontId="23" fillId="6" borderId="21" xfId="0" applyNumberFormat="1" applyFont="1" applyFill="1" applyBorder="1"/>
    <xf numFmtId="3" fontId="23" fillId="6" borderId="0" xfId="0" applyNumberFormat="1" applyFont="1" applyFill="1" applyBorder="1"/>
    <xf numFmtId="3" fontId="23" fillId="0" borderId="54" xfId="0" applyNumberFormat="1" applyFont="1" applyFill="1" applyBorder="1"/>
    <xf numFmtId="3" fontId="23" fillId="0" borderId="59" xfId="0" applyNumberFormat="1" applyFont="1" applyFill="1" applyBorder="1"/>
    <xf numFmtId="3" fontId="23" fillId="0" borderId="54" xfId="0" applyNumberFormat="1" applyFont="1" applyBorder="1"/>
    <xf numFmtId="3" fontId="23" fillId="0" borderId="59" xfId="0" applyNumberFormat="1" applyFont="1" applyBorder="1"/>
    <xf numFmtId="3" fontId="24" fillId="0" borderId="23" xfId="0" applyNumberFormat="1" applyFont="1" applyBorder="1"/>
    <xf numFmtId="3" fontId="24" fillId="0" borderId="22" xfId="0" applyNumberFormat="1" applyFont="1" applyBorder="1"/>
    <xf numFmtId="3" fontId="24" fillId="2" borderId="21" xfId="0" applyNumberFormat="1" applyFont="1" applyFill="1" applyBorder="1"/>
    <xf numFmtId="3" fontId="24" fillId="2" borderId="0" xfId="0" applyNumberFormat="1" applyFont="1" applyFill="1" applyBorder="1"/>
    <xf numFmtId="3" fontId="24" fillId="0" borderId="23" xfId="0" applyNumberFormat="1" applyFont="1" applyFill="1" applyBorder="1"/>
    <xf numFmtId="3" fontId="24" fillId="0" borderId="7" xfId="0" applyNumberFormat="1" applyFont="1" applyBorder="1"/>
    <xf numFmtId="3" fontId="24" fillId="0" borderId="7" xfId="0" applyNumberFormat="1" applyFont="1" applyFill="1" applyBorder="1"/>
    <xf numFmtId="0" fontId="49" fillId="0" borderId="23" xfId="0" applyFont="1" applyFill="1" applyBorder="1" applyAlignment="1" applyProtection="1">
      <alignment wrapText="1"/>
      <protection locked="0"/>
    </xf>
    <xf numFmtId="0" fontId="16" fillId="0" borderId="28" xfId="0" applyFont="1" applyBorder="1"/>
    <xf numFmtId="3" fontId="23" fillId="0" borderId="8" xfId="0" applyNumberFormat="1" applyFont="1" applyFill="1" applyBorder="1" applyAlignment="1" applyProtection="1">
      <alignment wrapText="1"/>
      <protection locked="0"/>
    </xf>
    <xf numFmtId="3" fontId="23" fillId="0" borderId="1" xfId="0" applyNumberFormat="1" applyFont="1" applyFill="1" applyBorder="1" applyAlignment="1" applyProtection="1">
      <alignment wrapText="1"/>
      <protection locked="0"/>
    </xf>
    <xf numFmtId="3" fontId="23" fillId="0" borderId="31" xfId="0" applyNumberFormat="1" applyFont="1" applyFill="1" applyBorder="1" applyAlignment="1" applyProtection="1">
      <alignment wrapText="1"/>
      <protection locked="0"/>
    </xf>
    <xf numFmtId="3" fontId="23" fillId="0" borderId="31" xfId="0" applyNumberFormat="1" applyFont="1" applyBorder="1"/>
    <xf numFmtId="3" fontId="23" fillId="0" borderId="28" xfId="0" applyNumberFormat="1" applyFont="1" applyBorder="1"/>
    <xf numFmtId="3" fontId="23" fillId="0" borderId="1" xfId="0" applyNumberFormat="1" applyFont="1" applyBorder="1"/>
    <xf numFmtId="3" fontId="24" fillId="0" borderId="28" xfId="0" applyNumberFormat="1" applyFont="1" applyBorder="1"/>
    <xf numFmtId="3" fontId="23" fillId="0" borderId="30" xfId="0" applyNumberFormat="1" applyFont="1" applyBorder="1"/>
    <xf numFmtId="3" fontId="23" fillId="0" borderId="8" xfId="0" applyNumberFormat="1" applyFont="1" applyFill="1" applyBorder="1"/>
    <xf numFmtId="3" fontId="23" fillId="0" borderId="28" xfId="0" applyNumberFormat="1" applyFont="1" applyFill="1" applyBorder="1"/>
    <xf numFmtId="3" fontId="23" fillId="0" borderId="31" xfId="0" applyNumberFormat="1" applyFont="1" applyFill="1" applyBorder="1"/>
    <xf numFmtId="3" fontId="23" fillId="0" borderId="1" xfId="0" applyNumberFormat="1" applyFont="1" applyFill="1" applyBorder="1"/>
    <xf numFmtId="3" fontId="23" fillId="0" borderId="8" xfId="0" applyNumberFormat="1" applyFont="1" applyBorder="1"/>
    <xf numFmtId="0" fontId="24" fillId="5" borderId="2" xfId="0" applyFont="1" applyFill="1" applyBorder="1" applyAlignment="1">
      <alignment vertical="center"/>
    </xf>
    <xf numFmtId="0" fontId="24" fillId="5" borderId="4" xfId="0" applyFont="1" applyFill="1" applyBorder="1" applyAlignment="1">
      <alignment vertical="center" wrapText="1"/>
    </xf>
    <xf numFmtId="3" fontId="24" fillId="5" borderId="3" xfId="0" applyNumberFormat="1" applyFont="1" applyFill="1" applyBorder="1" applyAlignment="1">
      <alignment vertical="center" wrapText="1"/>
    </xf>
    <xf numFmtId="3" fontId="24" fillId="5" borderId="32" xfId="0" applyNumberFormat="1" applyFont="1" applyFill="1" applyBorder="1" applyAlignment="1">
      <alignment vertical="center" wrapText="1"/>
    </xf>
    <xf numFmtId="3" fontId="24" fillId="5" borderId="32" xfId="0" applyNumberFormat="1" applyFont="1" applyFill="1" applyBorder="1" applyAlignment="1">
      <alignment vertical="center"/>
    </xf>
    <xf numFmtId="3" fontId="24" fillId="5" borderId="36" xfId="0" applyNumberFormat="1" applyFont="1" applyFill="1" applyBorder="1" applyAlignment="1">
      <alignment vertical="center"/>
    </xf>
    <xf numFmtId="3" fontId="24" fillId="5" borderId="2" xfId="0" applyNumberFormat="1" applyFont="1" applyFill="1" applyBorder="1" applyAlignment="1">
      <alignment vertical="center"/>
    </xf>
    <xf numFmtId="3" fontId="24" fillId="5" borderId="38" xfId="0" applyNumberFormat="1" applyFont="1" applyFill="1" applyBorder="1" applyAlignment="1">
      <alignment vertical="center"/>
    </xf>
    <xf numFmtId="3" fontId="24" fillId="5" borderId="37" xfId="0" applyNumberFormat="1" applyFont="1" applyFill="1" applyBorder="1" applyAlignment="1">
      <alignment vertical="center"/>
    </xf>
    <xf numFmtId="3" fontId="24" fillId="5" borderId="35" xfId="0" applyNumberFormat="1" applyFont="1" applyFill="1" applyBorder="1" applyAlignment="1">
      <alignment vertical="center"/>
    </xf>
    <xf numFmtId="3" fontId="24" fillId="5" borderId="4" xfId="0" applyNumberFormat="1" applyFont="1" applyFill="1" applyBorder="1" applyAlignment="1">
      <alignment vertical="center"/>
    </xf>
    <xf numFmtId="0" fontId="16" fillId="0" borderId="16" xfId="0" applyFont="1" applyBorder="1"/>
    <xf numFmtId="0" fontId="16" fillId="0" borderId="18" xfId="0" applyFont="1" applyBorder="1" applyAlignment="1">
      <alignment wrapText="1"/>
    </xf>
    <xf numFmtId="3" fontId="23" fillId="0" borderId="18" xfId="0" applyNumberFormat="1" applyFont="1" applyBorder="1" applyAlignment="1">
      <alignment wrapText="1"/>
    </xf>
    <xf numFmtId="3" fontId="16" fillId="0" borderId="33" xfId="0" applyNumberFormat="1" applyFont="1" applyBorder="1"/>
    <xf numFmtId="3" fontId="16" fillId="0" borderId="15" xfId="0" applyNumberFormat="1" applyFont="1" applyBorder="1"/>
    <xf numFmtId="3" fontId="16" fillId="0" borderId="18" xfId="0" applyNumberFormat="1" applyFont="1" applyBorder="1"/>
    <xf numFmtId="3" fontId="16" fillId="0" borderId="16" xfId="0" applyNumberFormat="1" applyFont="1" applyBorder="1"/>
    <xf numFmtId="3" fontId="31" fillId="0" borderId="40" xfId="0" applyNumberFormat="1" applyFont="1" applyBorder="1"/>
    <xf numFmtId="3" fontId="16" fillId="0" borderId="33" xfId="0" applyNumberFormat="1" applyFont="1" applyFill="1" applyBorder="1"/>
    <xf numFmtId="3" fontId="16" fillId="0" borderId="15" xfId="0" applyNumberFormat="1" applyFont="1" applyFill="1" applyBorder="1"/>
    <xf numFmtId="3" fontId="16" fillId="0" borderId="18" xfId="0" applyNumberFormat="1" applyFont="1" applyFill="1" applyBorder="1"/>
    <xf numFmtId="3" fontId="16" fillId="0" borderId="16" xfId="0" applyNumberFormat="1" applyFont="1" applyFill="1" applyBorder="1"/>
    <xf numFmtId="0" fontId="24" fillId="0" borderId="58" xfId="0" applyFont="1" applyBorder="1" applyAlignment="1">
      <alignment wrapText="1"/>
    </xf>
    <xf numFmtId="3" fontId="24" fillId="0" borderId="58" xfId="0" applyNumberFormat="1" applyFont="1" applyBorder="1" applyAlignment="1">
      <alignment wrapText="1"/>
    </xf>
    <xf numFmtId="1" fontId="24" fillId="0" borderId="22" xfId="0" applyNumberFormat="1" applyFont="1" applyFill="1" applyBorder="1" applyAlignment="1">
      <alignment horizontal="left"/>
    </xf>
    <xf numFmtId="3" fontId="23" fillId="0" borderId="23" xfId="0" applyNumberFormat="1" applyFont="1" applyFill="1" applyBorder="1" applyAlignment="1">
      <alignment horizontal="right" wrapText="1"/>
    </xf>
    <xf numFmtId="0" fontId="23" fillId="0" borderId="23" xfId="0" applyFont="1" applyFill="1" applyBorder="1" applyAlignment="1">
      <alignment horizontal="left" wrapText="1"/>
    </xf>
    <xf numFmtId="3" fontId="23" fillId="0" borderId="23" xfId="0" applyNumberFormat="1" applyFont="1" applyFill="1" applyBorder="1" applyAlignment="1">
      <alignment horizontal="left" wrapText="1"/>
    </xf>
    <xf numFmtId="0" fontId="23" fillId="0" borderId="23" xfId="0" applyFont="1" applyFill="1" applyBorder="1" applyAlignment="1">
      <alignment wrapText="1"/>
    </xf>
    <xf numFmtId="3" fontId="24" fillId="5" borderId="4" xfId="0" applyNumberFormat="1" applyFont="1" applyFill="1" applyBorder="1" applyAlignment="1">
      <alignment vertical="center" wrapText="1"/>
    </xf>
    <xf numFmtId="3" fontId="23" fillId="0" borderId="16" xfId="0" applyNumberFormat="1" applyFont="1" applyBorder="1"/>
    <xf numFmtId="3" fontId="23" fillId="0" borderId="15" xfId="0" applyNumberFormat="1" applyFont="1" applyBorder="1"/>
    <xf numFmtId="3" fontId="23" fillId="0" borderId="18" xfId="0" applyNumberFormat="1" applyFont="1" applyBorder="1"/>
    <xf numFmtId="3" fontId="23" fillId="0" borderId="33" xfId="0" applyNumberFormat="1" applyFont="1" applyFill="1" applyBorder="1"/>
    <xf numFmtId="3" fontId="23" fillId="0" borderId="33" xfId="0" applyNumberFormat="1" applyFont="1" applyBorder="1"/>
    <xf numFmtId="3" fontId="24" fillId="0" borderId="58" xfId="0" applyNumberFormat="1" applyFont="1" applyFill="1" applyBorder="1" applyAlignment="1">
      <alignment wrapText="1"/>
    </xf>
    <xf numFmtId="3" fontId="24" fillId="2" borderId="11" xfId="0" applyNumberFormat="1" applyFont="1" applyFill="1" applyBorder="1"/>
    <xf numFmtId="3" fontId="24" fillId="2" borderId="12" xfId="0" applyNumberFormat="1" applyFont="1" applyFill="1" applyBorder="1"/>
    <xf numFmtId="3" fontId="24" fillId="2" borderId="60" xfId="0" applyNumberFormat="1" applyFont="1" applyFill="1" applyBorder="1"/>
    <xf numFmtId="0" fontId="24" fillId="0" borderId="22" xfId="0" applyFont="1" applyFill="1" applyBorder="1" applyAlignment="1">
      <alignment vertical="center"/>
    </xf>
    <xf numFmtId="3" fontId="23" fillId="2" borderId="23" xfId="0" applyNumberFormat="1" applyFont="1" applyFill="1" applyBorder="1"/>
    <xf numFmtId="0" fontId="4" fillId="0" borderId="23" xfId="0" applyFont="1" applyFill="1" applyBorder="1" applyAlignment="1">
      <alignment wrapText="1"/>
    </xf>
    <xf numFmtId="3" fontId="24" fillId="2" borderId="58" xfId="0" applyNumberFormat="1" applyFont="1" applyFill="1" applyBorder="1"/>
    <xf numFmtId="0" fontId="24" fillId="0" borderId="22" xfId="0" applyFont="1" applyFill="1" applyBorder="1" applyAlignment="1">
      <alignment horizontal="right"/>
    </xf>
    <xf numFmtId="0" fontId="16" fillId="0" borderId="23" xfId="0" applyFont="1" applyFill="1" applyBorder="1" applyAlignment="1">
      <alignment horizontal="left"/>
    </xf>
    <xf numFmtId="3" fontId="23" fillId="0" borderId="23" xfId="0" applyNumberFormat="1" applyFont="1" applyFill="1" applyBorder="1" applyAlignment="1">
      <alignment horizontal="right"/>
    </xf>
    <xf numFmtId="0" fontId="24" fillId="0" borderId="22" xfId="0" applyFont="1" applyFill="1" applyBorder="1" applyAlignment="1">
      <alignment horizontal="right" vertical="center"/>
    </xf>
    <xf numFmtId="3" fontId="23" fillId="0" borderId="57" xfId="0" applyNumberFormat="1" applyFont="1" applyFill="1" applyBorder="1"/>
    <xf numFmtId="3" fontId="23" fillId="0" borderId="58" xfId="0" applyNumberFormat="1" applyFont="1" applyFill="1" applyBorder="1"/>
    <xf numFmtId="3" fontId="23" fillId="0" borderId="23" xfId="0" applyNumberFormat="1" applyFont="1" applyFill="1" applyBorder="1" applyAlignment="1">
      <alignment horizontal="left"/>
    </xf>
    <xf numFmtId="0" fontId="23" fillId="0" borderId="23" xfId="0" applyFont="1" applyFill="1" applyBorder="1" applyAlignment="1">
      <alignment horizontal="left"/>
    </xf>
    <xf numFmtId="0" fontId="23" fillId="0" borderId="28" xfId="0" applyFont="1" applyBorder="1"/>
    <xf numFmtId="0" fontId="27" fillId="0" borderId="31" xfId="0" applyFont="1" applyFill="1" applyBorder="1"/>
    <xf numFmtId="3" fontId="27" fillId="0" borderId="31" xfId="0" applyNumberFormat="1" applyFont="1" applyFill="1" applyBorder="1"/>
    <xf numFmtId="0" fontId="24" fillId="5" borderId="4" xfId="0" applyFont="1" applyFill="1" applyBorder="1" applyAlignment="1">
      <alignment vertical="center"/>
    </xf>
    <xf numFmtId="0" fontId="16" fillId="0" borderId="22" xfId="0" applyFont="1" applyBorder="1"/>
    <xf numFmtId="0" fontId="16" fillId="0" borderId="7" xfId="0" applyFont="1" applyFill="1" applyBorder="1"/>
    <xf numFmtId="3" fontId="23" fillId="0" borderId="16" xfId="0" applyNumberFormat="1" applyFont="1" applyFill="1" applyBorder="1"/>
    <xf numFmtId="3" fontId="23" fillId="0" borderId="15" xfId="0" applyNumberFormat="1" applyFont="1" applyFill="1" applyBorder="1"/>
    <xf numFmtId="3" fontId="23" fillId="0" borderId="18" xfId="0" applyNumberFormat="1" applyFont="1" applyFill="1" applyBorder="1"/>
    <xf numFmtId="0" fontId="18" fillId="7" borderId="2" xfId="0" applyFont="1" applyFill="1" applyBorder="1" applyAlignment="1">
      <alignment vertical="center"/>
    </xf>
    <xf numFmtId="0" fontId="16" fillId="7" borderId="2" xfId="0" applyFont="1" applyFill="1" applyBorder="1" applyAlignment="1">
      <alignment vertical="center"/>
    </xf>
    <xf numFmtId="3" fontId="24" fillId="7" borderId="2" xfId="0" applyNumberFormat="1" applyFont="1" applyFill="1" applyBorder="1" applyAlignment="1">
      <alignment vertical="center"/>
    </xf>
    <xf numFmtId="3" fontId="24" fillId="7" borderId="37" xfId="0" applyNumberFormat="1" applyFont="1" applyFill="1" applyBorder="1" applyAlignment="1">
      <alignment vertical="center"/>
    </xf>
    <xf numFmtId="3" fontId="24" fillId="7" borderId="36" xfId="0" applyNumberFormat="1" applyFont="1" applyFill="1" applyBorder="1" applyAlignment="1">
      <alignment vertical="center"/>
    </xf>
    <xf numFmtId="3" fontId="24" fillId="7" borderId="48" xfId="0" applyNumberFormat="1" applyFont="1" applyFill="1" applyBorder="1" applyAlignment="1">
      <alignment horizontal="right" vertical="center"/>
    </xf>
    <xf numFmtId="3" fontId="24" fillId="7" borderId="37" xfId="0" applyNumberFormat="1" applyFont="1" applyFill="1" applyBorder="1" applyAlignment="1">
      <alignment horizontal="right" vertical="center"/>
    </xf>
    <xf numFmtId="3" fontId="24" fillId="7" borderId="36" xfId="0" applyNumberFormat="1" applyFont="1" applyFill="1" applyBorder="1" applyAlignment="1">
      <alignment horizontal="right" vertical="center"/>
    </xf>
    <xf numFmtId="3" fontId="24" fillId="7" borderId="38" xfId="0" applyNumberFormat="1" applyFont="1" applyFill="1" applyBorder="1" applyAlignment="1">
      <alignment horizontal="right" vertical="center"/>
    </xf>
    <xf numFmtId="3" fontId="24" fillId="7" borderId="35" xfId="0" applyNumberFormat="1" applyFont="1" applyFill="1" applyBorder="1" applyAlignment="1">
      <alignment horizontal="right" vertical="center"/>
    </xf>
    <xf numFmtId="0" fontId="31" fillId="0" borderId="0" xfId="0" applyFont="1" applyFill="1"/>
    <xf numFmtId="3" fontId="16" fillId="0" borderId="0" xfId="0" applyNumberFormat="1" applyFont="1" applyBorder="1"/>
    <xf numFmtId="3" fontId="31" fillId="0" borderId="0" xfId="0" applyNumberFormat="1" applyFont="1"/>
    <xf numFmtId="0" fontId="16" fillId="0" borderId="0" xfId="0" applyFont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21" xfId="0" applyFont="1" applyBorder="1" applyAlignment="1"/>
    <xf numFmtId="3" fontId="23" fillId="0" borderId="7" xfId="0" applyNumberFormat="1" applyFont="1" applyBorder="1" applyAlignment="1">
      <alignment horizontal="right"/>
    </xf>
    <xf numFmtId="3" fontId="23" fillId="0" borderId="0" xfId="0" applyNumberFormat="1" applyFont="1" applyBorder="1" applyAlignment="1">
      <alignment horizontal="right"/>
    </xf>
    <xf numFmtId="3" fontId="23" fillId="0" borderId="23" xfId="0" applyNumberFormat="1" applyFont="1" applyBorder="1" applyAlignment="1">
      <alignment horizontal="right"/>
    </xf>
    <xf numFmtId="3" fontId="24" fillId="0" borderId="16" xfId="0" applyNumberFormat="1" applyFont="1" applyBorder="1" applyAlignment="1">
      <alignment horizontal="center" vertical="center"/>
    </xf>
    <xf numFmtId="0" fontId="23" fillId="0" borderId="16" xfId="0" applyFont="1" applyBorder="1" applyAlignment="1"/>
    <xf numFmtId="3" fontId="24" fillId="0" borderId="18" xfId="0" applyNumberFormat="1" applyFont="1" applyBorder="1" applyAlignment="1">
      <alignment horizontal="center" vertical="center" wrapText="1"/>
    </xf>
    <xf numFmtId="0" fontId="24" fillId="6" borderId="40" xfId="0" applyFont="1" applyFill="1" applyBorder="1" applyAlignment="1">
      <alignment horizontal="center" vertical="center" wrapText="1"/>
    </xf>
    <xf numFmtId="0" fontId="24" fillId="6" borderId="15" xfId="0" applyFont="1" applyFill="1" applyBorder="1" applyAlignment="1">
      <alignment horizontal="center" vertical="center"/>
    </xf>
    <xf numFmtId="0" fontId="24" fillId="6" borderId="15" xfId="0" applyFont="1" applyFill="1" applyBorder="1" applyAlignment="1">
      <alignment horizontal="center" vertical="center" wrapText="1"/>
    </xf>
    <xf numFmtId="3" fontId="24" fillId="0" borderId="33" xfId="0" applyNumberFormat="1" applyFont="1" applyFill="1" applyBorder="1" applyAlignment="1">
      <alignment horizontal="center" vertical="center"/>
    </xf>
    <xf numFmtId="3" fontId="24" fillId="0" borderId="15" xfId="0" applyNumberFormat="1" applyFont="1" applyFill="1" applyBorder="1" applyAlignment="1">
      <alignment horizontal="center" vertical="center"/>
    </xf>
    <xf numFmtId="3" fontId="24" fillId="0" borderId="18" xfId="0" applyNumberFormat="1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3" fontId="24" fillId="0" borderId="33" xfId="0" applyNumberFormat="1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3" fontId="24" fillId="0" borderId="0" xfId="0" applyNumberFormat="1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left" vertical="center"/>
    </xf>
    <xf numFmtId="0" fontId="23" fillId="0" borderId="25" xfId="0" applyFont="1" applyFill="1" applyBorder="1"/>
    <xf numFmtId="3" fontId="23" fillId="0" borderId="9" xfId="0" applyNumberFormat="1" applyFont="1" applyFill="1" applyBorder="1" applyAlignment="1">
      <alignment horizontal="right"/>
    </xf>
    <xf numFmtId="3" fontId="23" fillId="0" borderId="25" xfId="0" applyNumberFormat="1" applyFont="1" applyFill="1" applyBorder="1" applyAlignment="1">
      <alignment horizontal="right"/>
    </xf>
    <xf numFmtId="3" fontId="23" fillId="0" borderId="58" xfId="0" applyNumberFormat="1" applyFont="1" applyFill="1" applyBorder="1" applyAlignment="1">
      <alignment horizontal="right"/>
    </xf>
    <xf numFmtId="0" fontId="16" fillId="0" borderId="0" xfId="0" applyFont="1" applyFill="1" applyBorder="1" applyAlignment="1" applyProtection="1">
      <alignment wrapText="1"/>
      <protection locked="0"/>
    </xf>
    <xf numFmtId="3" fontId="23" fillId="0" borderId="7" xfId="0" applyNumberFormat="1" applyFont="1" applyFill="1" applyBorder="1" applyAlignment="1" applyProtection="1">
      <alignment horizontal="right" wrapText="1"/>
      <protection locked="0"/>
    </xf>
    <xf numFmtId="3" fontId="23" fillId="0" borderId="0" xfId="0" applyNumberFormat="1" applyFont="1" applyFill="1" applyBorder="1" applyAlignment="1" applyProtection="1">
      <alignment horizontal="right" wrapText="1"/>
      <protection locked="0"/>
    </xf>
    <xf numFmtId="3" fontId="23" fillId="0" borderId="23" xfId="0" applyNumberFormat="1" applyFont="1" applyFill="1" applyBorder="1" applyAlignment="1" applyProtection="1">
      <alignment horizontal="right" wrapText="1"/>
      <protection locked="0"/>
    </xf>
    <xf numFmtId="3" fontId="23" fillId="0" borderId="0" xfId="0" applyNumberFormat="1" applyFont="1" applyAlignment="1">
      <alignment horizontal="right"/>
    </xf>
    <xf numFmtId="0" fontId="4" fillId="0" borderId="0" xfId="0" applyFont="1" applyFill="1" applyBorder="1" applyAlignment="1" applyProtection="1">
      <alignment wrapText="1"/>
      <protection locked="0"/>
    </xf>
    <xf numFmtId="0" fontId="23" fillId="0" borderId="0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46" fillId="0" borderId="21" xfId="0" applyFont="1" applyFill="1" applyBorder="1"/>
    <xf numFmtId="3" fontId="24" fillId="6" borderId="19" xfId="0" applyNumberFormat="1" applyFont="1" applyFill="1" applyBorder="1"/>
    <xf numFmtId="3" fontId="31" fillId="2" borderId="25" xfId="0" applyNumberFormat="1" applyFont="1" applyFill="1" applyBorder="1"/>
    <xf numFmtId="3" fontId="31" fillId="0" borderId="25" xfId="0" applyNumberFormat="1" applyFont="1" applyFill="1" applyBorder="1"/>
    <xf numFmtId="3" fontId="46" fillId="0" borderId="21" xfId="0" applyNumberFormat="1" applyFont="1" applyBorder="1"/>
    <xf numFmtId="3" fontId="28" fillId="0" borderId="23" xfId="0" applyNumberFormat="1" applyFont="1" applyBorder="1"/>
    <xf numFmtId="3" fontId="16" fillId="0" borderId="0" xfId="0" applyNumberFormat="1" applyFont="1" applyFill="1" applyBorder="1"/>
    <xf numFmtId="3" fontId="23" fillId="2" borderId="0" xfId="0" applyNumberFormat="1" applyFont="1" applyFill="1" applyBorder="1" applyAlignment="1">
      <alignment wrapText="1"/>
    </xf>
    <xf numFmtId="0" fontId="23" fillId="0" borderId="21" xfId="0" applyFont="1" applyBorder="1"/>
    <xf numFmtId="3" fontId="24" fillId="2" borderId="61" xfId="0" applyNumberFormat="1" applyFont="1" applyFill="1" applyBorder="1"/>
    <xf numFmtId="0" fontId="24" fillId="0" borderId="21" xfId="0" applyFont="1" applyFill="1" applyBorder="1" applyAlignment="1">
      <alignment horizontal="left" vertical="center"/>
    </xf>
    <xf numFmtId="0" fontId="16" fillId="0" borderId="23" xfId="0" applyFont="1" applyBorder="1"/>
    <xf numFmtId="0" fontId="16" fillId="0" borderId="19" xfId="0" applyFont="1" applyBorder="1"/>
    <xf numFmtId="0" fontId="16" fillId="0" borderId="0" xfId="0" applyFont="1" applyFill="1" applyBorder="1"/>
    <xf numFmtId="0" fontId="16" fillId="0" borderId="23" xfId="0" applyFont="1" applyFill="1" applyBorder="1"/>
    <xf numFmtId="0" fontId="16" fillId="0" borderId="7" xfId="0" applyFont="1" applyBorder="1"/>
    <xf numFmtId="3" fontId="23" fillId="9" borderId="7" xfId="0" applyNumberFormat="1" applyFont="1" applyFill="1" applyBorder="1" applyAlignment="1">
      <alignment horizontal="right"/>
    </xf>
    <xf numFmtId="3" fontId="23" fillId="9" borderId="0" xfId="0" applyNumberFormat="1" applyFont="1" applyFill="1" applyBorder="1" applyAlignment="1">
      <alignment horizontal="right"/>
    </xf>
    <xf numFmtId="3" fontId="23" fillId="9" borderId="23" xfId="0" applyNumberFormat="1" applyFont="1" applyFill="1" applyBorder="1" applyAlignment="1">
      <alignment horizontal="right"/>
    </xf>
    <xf numFmtId="0" fontId="48" fillId="0" borderId="0" xfId="0" applyFont="1" applyFill="1" applyBorder="1" applyAlignment="1" applyProtection="1">
      <alignment wrapText="1"/>
      <protection locked="0"/>
    </xf>
    <xf numFmtId="0" fontId="16" fillId="0" borderId="25" xfId="0" applyFont="1" applyFill="1" applyBorder="1" applyAlignment="1" applyProtection="1">
      <alignment wrapText="1"/>
      <protection locked="0"/>
    </xf>
    <xf numFmtId="3" fontId="23" fillId="0" borderId="9" xfId="0" applyNumberFormat="1" applyFont="1" applyFill="1" applyBorder="1" applyAlignment="1" applyProtection="1">
      <alignment horizontal="right" wrapText="1"/>
      <protection locked="0"/>
    </xf>
    <xf numFmtId="3" fontId="23" fillId="0" borderId="25" xfId="0" applyNumberFormat="1" applyFont="1" applyFill="1" applyBorder="1" applyAlignment="1" applyProtection="1">
      <alignment horizontal="right" wrapText="1"/>
      <protection locked="0"/>
    </xf>
    <xf numFmtId="3" fontId="23" fillId="0" borderId="58" xfId="0" applyNumberFormat="1" applyFont="1" applyFill="1" applyBorder="1" applyAlignment="1" applyProtection="1">
      <alignment horizontal="right" wrapText="1"/>
      <protection locked="0"/>
    </xf>
    <xf numFmtId="3" fontId="23" fillId="0" borderId="62" xfId="0" applyNumberFormat="1" applyFont="1" applyBorder="1"/>
    <xf numFmtId="3" fontId="24" fillId="0" borderId="26" xfId="0" applyNumberFormat="1" applyFont="1" applyBorder="1"/>
    <xf numFmtId="3" fontId="24" fillId="0" borderId="21" xfId="0" applyNumberFormat="1" applyFont="1" applyBorder="1"/>
    <xf numFmtId="0" fontId="16" fillId="0" borderId="21" xfId="0" applyFont="1" applyBorder="1"/>
    <xf numFmtId="3" fontId="24" fillId="0" borderId="43" xfId="0" applyNumberFormat="1" applyFont="1" applyBorder="1"/>
    <xf numFmtId="0" fontId="24" fillId="5" borderId="48" xfId="0" applyFont="1" applyFill="1" applyBorder="1" applyAlignment="1">
      <alignment vertical="center"/>
    </xf>
    <xf numFmtId="0" fontId="24" fillId="5" borderId="32" xfId="0" applyFont="1" applyFill="1" applyBorder="1" applyAlignment="1">
      <alignment vertical="center"/>
    </xf>
    <xf numFmtId="3" fontId="24" fillId="5" borderId="32" xfId="0" applyNumberFormat="1" applyFont="1" applyFill="1" applyBorder="1" applyAlignment="1">
      <alignment horizontal="right" vertical="center"/>
    </xf>
    <xf numFmtId="3" fontId="24" fillId="5" borderId="4" xfId="0" applyNumberFormat="1" applyFont="1" applyFill="1" applyBorder="1" applyAlignment="1">
      <alignment horizontal="right" vertical="center"/>
    </xf>
    <xf numFmtId="3" fontId="31" fillId="5" borderId="36" xfId="0" applyNumberFormat="1" applyFont="1" applyFill="1" applyBorder="1" applyAlignment="1">
      <alignment vertical="center"/>
    </xf>
    <xf numFmtId="0" fontId="16" fillId="0" borderId="14" xfId="0" applyFont="1" applyBorder="1"/>
    <xf numFmtId="0" fontId="16" fillId="0" borderId="12" xfId="0" applyFont="1" applyBorder="1"/>
    <xf numFmtId="3" fontId="23" fillId="0" borderId="33" xfId="0" applyNumberFormat="1" applyFont="1" applyBorder="1" applyAlignment="1">
      <alignment horizontal="right"/>
    </xf>
    <xf numFmtId="3" fontId="23" fillId="0" borderId="18" xfId="0" applyNumberFormat="1" applyFont="1" applyBorder="1" applyAlignment="1">
      <alignment horizontal="right"/>
    </xf>
    <xf numFmtId="3" fontId="31" fillId="0" borderId="16" xfId="0" applyNumberFormat="1" applyFont="1" applyBorder="1"/>
    <xf numFmtId="3" fontId="16" fillId="0" borderId="47" xfId="0" applyNumberFormat="1" applyFont="1" applyBorder="1"/>
    <xf numFmtId="1" fontId="24" fillId="0" borderId="22" xfId="0" applyNumberFormat="1" applyFont="1" applyFill="1" applyBorder="1" applyAlignment="1">
      <alignment horizontal="left" vertical="center"/>
    </xf>
    <xf numFmtId="3" fontId="24" fillId="0" borderId="43" xfId="0" applyNumberFormat="1" applyFont="1" applyFill="1" applyBorder="1"/>
    <xf numFmtId="3" fontId="23" fillId="6" borderId="1" xfId="0" applyNumberFormat="1" applyFont="1" applyFill="1" applyBorder="1"/>
    <xf numFmtId="0" fontId="24" fillId="5" borderId="3" xfId="0" applyFont="1" applyFill="1" applyBorder="1" applyAlignment="1">
      <alignment vertical="center"/>
    </xf>
    <xf numFmtId="3" fontId="24" fillId="0" borderId="42" xfId="0" applyNumberFormat="1" applyFont="1" applyFill="1" applyBorder="1"/>
    <xf numFmtId="0" fontId="23" fillId="0" borderId="58" xfId="0" applyFont="1" applyFill="1" applyBorder="1"/>
    <xf numFmtId="3" fontId="24" fillId="0" borderId="25" xfId="0" applyNumberFormat="1" applyFont="1" applyFill="1" applyBorder="1" applyAlignment="1">
      <alignment horizontal="right"/>
    </xf>
    <xf numFmtId="3" fontId="24" fillId="2" borderId="42" xfId="0" applyNumberFormat="1" applyFont="1" applyFill="1" applyBorder="1"/>
    <xf numFmtId="0" fontId="23" fillId="0" borderId="0" xfId="0" applyFont="1" applyAlignment="1">
      <alignment horizontal="right"/>
    </xf>
    <xf numFmtId="0" fontId="24" fillId="0" borderId="22" xfId="0" applyFont="1" applyBorder="1" applyAlignment="1">
      <alignment horizontal="right"/>
    </xf>
    <xf numFmtId="3" fontId="23" fillId="0" borderId="0" xfId="0" applyNumberFormat="1" applyFont="1" applyFill="1" applyBorder="1" applyAlignment="1">
      <alignment horizontal="right" wrapText="1"/>
    </xf>
    <xf numFmtId="0" fontId="24" fillId="0" borderId="0" xfId="0" applyFont="1" applyAlignment="1">
      <alignment horizontal="right"/>
    </xf>
    <xf numFmtId="0" fontId="24" fillId="0" borderId="57" xfId="0" applyFont="1" applyFill="1" applyBorder="1"/>
    <xf numFmtId="0" fontId="23" fillId="0" borderId="58" xfId="0" applyFont="1" applyBorder="1"/>
    <xf numFmtId="3" fontId="24" fillId="0" borderId="25" xfId="0" applyNumberFormat="1" applyFont="1" applyBorder="1" applyAlignment="1">
      <alignment horizontal="right"/>
    </xf>
    <xf numFmtId="0" fontId="24" fillId="0" borderId="22" xfId="0" applyFont="1" applyBorder="1"/>
    <xf numFmtId="0" fontId="23" fillId="0" borderId="23" xfId="0" applyFont="1" applyFill="1" applyBorder="1"/>
    <xf numFmtId="3" fontId="23" fillId="0" borderId="0" xfId="0" applyNumberFormat="1" applyFont="1" applyFill="1" applyBorder="1" applyAlignment="1">
      <alignment horizontal="right"/>
    </xf>
    <xf numFmtId="0" fontId="23" fillId="0" borderId="23" xfId="0" applyFont="1" applyBorder="1" applyAlignment="1">
      <alignment horizontal="left"/>
    </xf>
    <xf numFmtId="0" fontId="24" fillId="0" borderId="16" xfId="0" applyFont="1" applyFill="1" applyBorder="1" applyAlignment="1">
      <alignment vertical="center"/>
    </xf>
    <xf numFmtId="0" fontId="24" fillId="0" borderId="15" xfId="0" applyFont="1" applyFill="1" applyBorder="1" applyAlignment="1">
      <alignment vertical="center"/>
    </xf>
    <xf numFmtId="3" fontId="24" fillId="0" borderId="15" xfId="0" applyNumberFormat="1" applyFont="1" applyFill="1" applyBorder="1" applyAlignment="1">
      <alignment horizontal="right" vertical="center"/>
    </xf>
    <xf numFmtId="3" fontId="24" fillId="0" borderId="15" xfId="0" applyNumberFormat="1" applyFont="1" applyFill="1" applyBorder="1" applyAlignment="1">
      <alignment vertical="center"/>
    </xf>
    <xf numFmtId="3" fontId="24" fillId="0" borderId="16" xfId="0" applyNumberFormat="1" applyFont="1" applyFill="1" applyBorder="1" applyAlignment="1">
      <alignment vertical="center"/>
    </xf>
    <xf numFmtId="3" fontId="24" fillId="0" borderId="18" xfId="0" applyNumberFormat="1" applyFont="1" applyFill="1" applyBorder="1" applyAlignment="1">
      <alignment vertical="center"/>
    </xf>
    <xf numFmtId="3" fontId="24" fillId="0" borderId="2" xfId="0" applyNumberFormat="1" applyFont="1" applyFill="1" applyBorder="1" applyAlignment="1">
      <alignment vertical="center"/>
    </xf>
    <xf numFmtId="3" fontId="24" fillId="0" borderId="32" xfId="0" applyNumberFormat="1" applyFont="1" applyFill="1" applyBorder="1" applyAlignment="1">
      <alignment vertical="center"/>
    </xf>
    <xf numFmtId="3" fontId="24" fillId="0" borderId="33" xfId="0" applyNumberFormat="1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3" fontId="24" fillId="0" borderId="32" xfId="0" applyNumberFormat="1" applyFont="1" applyFill="1" applyBorder="1" applyAlignment="1">
      <alignment horizontal="right" vertical="center"/>
    </xf>
    <xf numFmtId="3" fontId="24" fillId="0" borderId="2" xfId="0" applyNumberFormat="1" applyFont="1" applyBorder="1"/>
    <xf numFmtId="3" fontId="23" fillId="0" borderId="32" xfId="0" applyNumberFormat="1" applyFont="1" applyBorder="1"/>
    <xf numFmtId="0" fontId="53" fillId="0" borderId="16" xfId="0" applyFont="1" applyBorder="1" applyAlignment="1">
      <alignment horizontal="left" vertical="center"/>
    </xf>
    <xf numFmtId="0" fontId="31" fillId="0" borderId="18" xfId="0" applyFont="1" applyBorder="1" applyAlignment="1">
      <alignment horizontal="left"/>
    </xf>
    <xf numFmtId="3" fontId="24" fillId="0" borderId="5" xfId="0" applyNumberFormat="1" applyFont="1" applyBorder="1" applyAlignment="1">
      <alignment horizontal="right"/>
    </xf>
    <xf numFmtId="3" fontId="24" fillId="0" borderId="60" xfId="0" applyNumberFormat="1" applyFont="1" applyBorder="1" applyAlignment="1">
      <alignment horizontal="right"/>
    </xf>
    <xf numFmtId="3" fontId="24" fillId="0" borderId="5" xfId="0" applyNumberFormat="1" applyFont="1" applyBorder="1"/>
    <xf numFmtId="3" fontId="24" fillId="0" borderId="12" xfId="0" applyNumberFormat="1" applyFont="1" applyBorder="1"/>
    <xf numFmtId="3" fontId="24" fillId="0" borderId="63" xfId="0" applyNumberFormat="1" applyFont="1" applyBorder="1"/>
    <xf numFmtId="3" fontId="24" fillId="0" borderId="60" xfId="0" applyNumberFormat="1" applyFont="1" applyBorder="1"/>
    <xf numFmtId="3" fontId="24" fillId="2" borderId="64" xfId="0" applyNumberFormat="1" applyFont="1" applyFill="1" applyBorder="1"/>
    <xf numFmtId="3" fontId="24" fillId="0" borderId="5" xfId="0" applyNumberFormat="1" applyFont="1" applyFill="1" applyBorder="1"/>
    <xf numFmtId="3" fontId="24" fillId="0" borderId="12" xfId="0" applyNumberFormat="1" applyFont="1" applyFill="1" applyBorder="1"/>
    <xf numFmtId="3" fontId="24" fillId="0" borderId="60" xfId="0" applyNumberFormat="1" applyFont="1" applyFill="1" applyBorder="1"/>
    <xf numFmtId="0" fontId="53" fillId="0" borderId="22" xfId="0" applyFont="1" applyBorder="1" applyAlignment="1">
      <alignment horizontal="left" vertical="center"/>
    </xf>
    <xf numFmtId="0" fontId="21" fillId="0" borderId="23" xfId="0" applyFont="1" applyFill="1" applyBorder="1" applyAlignment="1">
      <alignment wrapText="1"/>
    </xf>
    <xf numFmtId="0" fontId="16" fillId="0" borderId="23" xfId="0" applyFont="1" applyFill="1" applyBorder="1" applyAlignment="1" applyProtection="1">
      <protection locked="0"/>
    </xf>
    <xf numFmtId="3" fontId="23" fillId="0" borderId="23" xfId="0" applyNumberFormat="1" applyFont="1" applyFill="1" applyBorder="1" applyAlignment="1" applyProtection="1">
      <alignment horizontal="right"/>
      <protection locked="0"/>
    </xf>
    <xf numFmtId="0" fontId="24" fillId="0" borderId="2" xfId="0" applyFont="1" applyBorder="1" applyAlignment="1">
      <alignment horizontal="center" vertical="center"/>
    </xf>
    <xf numFmtId="3" fontId="24" fillId="0" borderId="2" xfId="0" applyNumberFormat="1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3" fillId="0" borderId="7" xfId="0" applyFont="1" applyBorder="1" applyAlignment="1"/>
    <xf numFmtId="0" fontId="23" fillId="0" borderId="23" xfId="0" applyFont="1" applyBorder="1" applyAlignment="1"/>
    <xf numFmtId="0" fontId="24" fillId="6" borderId="18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 applyProtection="1">
      <alignment wrapText="1"/>
      <protection locked="0"/>
    </xf>
    <xf numFmtId="0" fontId="16" fillId="0" borderId="7" xfId="0" applyFont="1" applyFill="1" applyBorder="1" applyAlignment="1" applyProtection="1">
      <alignment wrapText="1"/>
      <protection locked="0"/>
    </xf>
    <xf numFmtId="0" fontId="15" fillId="0" borderId="56" xfId="0" applyFont="1" applyFill="1" applyBorder="1"/>
    <xf numFmtId="3" fontId="25" fillId="0" borderId="49" xfId="0" applyNumberFormat="1" applyFont="1" applyFill="1" applyBorder="1" applyAlignment="1">
      <alignment horizontal="center" vertical="center" wrapText="1"/>
    </xf>
    <xf numFmtId="3" fontId="25" fillId="0" borderId="27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Alignment="1">
      <alignment vertical="center"/>
    </xf>
    <xf numFmtId="3" fontId="33" fillId="0" borderId="0" xfId="0" applyNumberFormat="1" applyFont="1" applyFill="1" applyAlignment="1" applyProtection="1">
      <alignment horizontal="right" vertical="center"/>
    </xf>
    <xf numFmtId="0" fontId="0" fillId="0" borderId="56" xfId="0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/>
    </xf>
    <xf numFmtId="49" fontId="23" fillId="0" borderId="51" xfId="0" applyNumberFormat="1" applyFont="1" applyFill="1" applyBorder="1" applyAlignment="1">
      <alignment horizontal="center"/>
    </xf>
    <xf numFmtId="0" fontId="23" fillId="0" borderId="50" xfId="0" applyFont="1" applyFill="1" applyBorder="1"/>
    <xf numFmtId="0" fontId="24" fillId="0" borderId="50" xfId="0" applyFont="1" applyFill="1" applyBorder="1"/>
    <xf numFmtId="0" fontId="24" fillId="0" borderId="51" xfId="0" applyFont="1" applyFill="1" applyBorder="1" applyAlignment="1">
      <alignment horizontal="center"/>
    </xf>
    <xf numFmtId="0" fontId="24" fillId="0" borderId="54" xfId="0" applyFont="1" applyFill="1" applyBorder="1" applyAlignment="1">
      <alignment horizontal="center"/>
    </xf>
    <xf numFmtId="0" fontId="16" fillId="0" borderId="50" xfId="0" applyFont="1" applyFill="1" applyBorder="1" applyAlignment="1">
      <alignment horizontal="center" vertical="center" wrapText="1"/>
    </xf>
    <xf numFmtId="0" fontId="24" fillId="0" borderId="54" xfId="0" applyFont="1" applyFill="1" applyBorder="1" applyAlignment="1">
      <alignment horizontal="center" vertical="center"/>
    </xf>
    <xf numFmtId="4" fontId="23" fillId="0" borderId="0" xfId="0" applyNumberFormat="1" applyFont="1" applyFill="1" applyBorder="1"/>
    <xf numFmtId="3" fontId="24" fillId="0" borderId="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Fill="1" applyBorder="1" applyAlignment="1">
      <alignment horizontal="center"/>
    </xf>
    <xf numFmtId="3" fontId="24" fillId="0" borderId="49" xfId="0" applyNumberFormat="1" applyFont="1" applyFill="1" applyBorder="1" applyAlignment="1" applyProtection="1">
      <alignment horizontal="right" vertical="center"/>
      <protection locked="0"/>
    </xf>
    <xf numFmtId="3" fontId="55" fillId="0" borderId="0" xfId="0" applyNumberFormat="1" applyFont="1" applyFill="1" applyAlignment="1">
      <alignment horizontal="right" vertical="center"/>
    </xf>
    <xf numFmtId="3" fontId="15" fillId="0" borderId="65" xfId="0" applyNumberFormat="1" applyFont="1" applyFill="1" applyBorder="1" applyAlignment="1">
      <alignment horizontal="right" vertical="center"/>
    </xf>
    <xf numFmtId="3" fontId="15" fillId="6" borderId="50" xfId="0" applyNumberFormat="1" applyFont="1" applyFill="1" applyBorder="1" applyAlignment="1" applyProtection="1">
      <alignment horizontal="right" vertical="center"/>
    </xf>
    <xf numFmtId="3" fontId="15" fillId="0" borderId="48" xfId="0" applyNumberFormat="1" applyFont="1" applyFill="1" applyBorder="1" applyAlignment="1" applyProtection="1">
      <alignment horizontal="right" vertical="center"/>
    </xf>
    <xf numFmtId="3" fontId="15" fillId="0" borderId="66" xfId="0" applyNumberFormat="1" applyFont="1" applyFill="1" applyBorder="1" applyAlignment="1">
      <alignment horizontal="right" vertical="center"/>
    </xf>
    <xf numFmtId="3" fontId="15" fillId="0" borderId="67" xfId="0" applyNumberFormat="1" applyFont="1" applyFill="1" applyBorder="1" applyAlignment="1">
      <alignment horizontal="right" vertical="center"/>
    </xf>
    <xf numFmtId="3" fontId="15" fillId="0" borderId="66" xfId="0" applyNumberFormat="1" applyFont="1" applyFill="1" applyBorder="1" applyAlignment="1" applyProtection="1">
      <alignment horizontal="right" vertical="center"/>
    </xf>
    <xf numFmtId="10" fontId="15" fillId="0" borderId="32" xfId="0" applyNumberFormat="1" applyFont="1" applyFill="1" applyBorder="1"/>
    <xf numFmtId="10" fontId="25" fillId="0" borderId="0" xfId="0" applyNumberFormat="1" applyFont="1" applyFill="1" applyBorder="1"/>
    <xf numFmtId="10" fontId="11" fillId="0" borderId="32" xfId="0" applyNumberFormat="1" applyFont="1" applyFill="1" applyBorder="1"/>
    <xf numFmtId="10" fontId="11" fillId="0" borderId="0" xfId="0" applyNumberFormat="1" applyFont="1" applyFill="1" applyBorder="1"/>
    <xf numFmtId="0" fontId="20" fillId="0" borderId="67" xfId="0" applyFont="1" applyFill="1" applyBorder="1"/>
    <xf numFmtId="3" fontId="21" fillId="0" borderId="68" xfId="0" applyNumberFormat="1" applyFont="1" applyFill="1" applyBorder="1" applyAlignment="1">
      <alignment horizontal="right"/>
    </xf>
    <xf numFmtId="3" fontId="11" fillId="0" borderId="69" xfId="0" applyNumberFormat="1" applyFont="1" applyFill="1" applyBorder="1" applyAlignment="1">
      <alignment horizontal="right"/>
    </xf>
    <xf numFmtId="10" fontId="11" fillId="0" borderId="69" xfId="0" applyNumberFormat="1" applyFont="1" applyFill="1" applyBorder="1" applyAlignment="1">
      <alignment horizontal="right"/>
    </xf>
    <xf numFmtId="10" fontId="11" fillId="0" borderId="69" xfId="0" applyNumberFormat="1" applyFont="1" applyFill="1" applyBorder="1"/>
    <xf numFmtId="0" fontId="11" fillId="0" borderId="70" xfId="0" applyFont="1" applyFill="1" applyBorder="1"/>
    <xf numFmtId="3" fontId="0" fillId="0" borderId="71" xfId="0" applyNumberFormat="1" applyBorder="1"/>
    <xf numFmtId="3" fontId="0" fillId="0" borderId="72" xfId="0" applyNumberFormat="1" applyBorder="1"/>
    <xf numFmtId="3" fontId="23" fillId="0" borderId="72" xfId="0" applyNumberFormat="1" applyFont="1" applyBorder="1"/>
    <xf numFmtId="0" fontId="56" fillId="0" borderId="0" xfId="0" applyFont="1"/>
    <xf numFmtId="0" fontId="57" fillId="0" borderId="3" xfId="0" applyFont="1" applyFill="1" applyBorder="1" applyAlignment="1">
      <alignment horizontal="center" vertical="center" wrapText="1"/>
    </xf>
    <xf numFmtId="0" fontId="56" fillId="0" borderId="0" xfId="0" applyFont="1" applyAlignment="1">
      <alignment vertical="center"/>
    </xf>
    <xf numFmtId="3" fontId="56" fillId="0" borderId="0" xfId="0" applyNumberFormat="1" applyFont="1" applyFill="1" applyBorder="1"/>
    <xf numFmtId="3" fontId="57" fillId="0" borderId="3" xfId="0" applyNumberFormat="1" applyFont="1" applyFill="1" applyBorder="1"/>
    <xf numFmtId="3" fontId="56" fillId="0" borderId="0" xfId="0" applyNumberFormat="1" applyFont="1" applyFill="1" applyBorder="1" applyAlignment="1" applyProtection="1">
      <alignment horizontal="right" vertical="top"/>
      <protection locked="0"/>
    </xf>
    <xf numFmtId="3" fontId="57" fillId="0" borderId="3" xfId="0" applyNumberFormat="1" applyFont="1" applyFill="1" applyBorder="1" applyAlignment="1">
      <alignment vertical="center"/>
    </xf>
    <xf numFmtId="3" fontId="24" fillId="0" borderId="23" xfId="0" applyNumberFormat="1" applyFont="1" applyFill="1" applyBorder="1" applyAlignment="1">
      <alignment vertical="center"/>
    </xf>
    <xf numFmtId="3" fontId="24" fillId="5" borderId="73" xfId="0" applyNumberFormat="1" applyFont="1" applyFill="1" applyBorder="1" applyAlignment="1">
      <alignment horizontal="right" vertical="center"/>
    </xf>
    <xf numFmtId="3" fontId="24" fillId="5" borderId="74" xfId="0" applyNumberFormat="1" applyFont="1" applyFill="1" applyBorder="1" applyAlignment="1">
      <alignment horizontal="right" vertical="center"/>
    </xf>
    <xf numFmtId="3" fontId="24" fillId="5" borderId="75" xfId="0" applyNumberFormat="1" applyFont="1" applyFill="1" applyBorder="1" applyAlignment="1">
      <alignment horizontal="right" vertical="center"/>
    </xf>
    <xf numFmtId="3" fontId="23" fillId="0" borderId="76" xfId="0" applyNumberFormat="1" applyFont="1" applyBorder="1"/>
    <xf numFmtId="0" fontId="23" fillId="0" borderId="49" xfId="0" applyFont="1" applyFill="1" applyBorder="1" applyAlignment="1">
      <alignment horizontal="center" vertical="center" wrapText="1"/>
    </xf>
    <xf numFmtId="3" fontId="24" fillId="6" borderId="49" xfId="0" applyNumberFormat="1" applyFont="1" applyFill="1" applyBorder="1" applyAlignment="1">
      <alignment vertical="center"/>
    </xf>
    <xf numFmtId="3" fontId="23" fillId="0" borderId="70" xfId="0" applyNumberFormat="1" applyFont="1" applyFill="1" applyBorder="1"/>
    <xf numFmtId="0" fontId="5" fillId="0" borderId="0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3" fontId="21" fillId="0" borderId="7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/>
    </xf>
    <xf numFmtId="0" fontId="2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5" borderId="0" xfId="0" applyFont="1" applyFill="1" applyBorder="1" applyAlignment="1">
      <alignment vertical="center"/>
    </xf>
    <xf numFmtId="0" fontId="8" fillId="0" borderId="1" xfId="0" applyFont="1" applyBorder="1" applyAlignment="1">
      <alignment horizontal="right"/>
    </xf>
    <xf numFmtId="0" fontId="30" fillId="0" borderId="3" xfId="0" applyFont="1" applyBorder="1" applyAlignment="1">
      <alignment horizontal="center" vertical="center"/>
    </xf>
    <xf numFmtId="0" fontId="31" fillId="0" borderId="3" xfId="5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wrapText="1"/>
    </xf>
    <xf numFmtId="3" fontId="31" fillId="0" borderId="3" xfId="5" applyNumberFormat="1" applyFont="1" applyBorder="1" applyAlignment="1">
      <alignment horizontal="center" vertical="center" wrapText="1"/>
    </xf>
    <xf numFmtId="3" fontId="30" fillId="0" borderId="8" xfId="0" applyNumberFormat="1" applyFont="1" applyBorder="1" applyAlignment="1">
      <alignment horizontal="center" vertical="center" wrapText="1"/>
    </xf>
    <xf numFmtId="0" fontId="15" fillId="0" borderId="22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1" fontId="30" fillId="0" borderId="7" xfId="0" applyNumberFormat="1" applyFont="1" applyBorder="1" applyAlignment="1">
      <alignment horizontal="center" vertical="center"/>
    </xf>
    <xf numFmtId="3" fontId="30" fillId="0" borderId="7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3" fontId="25" fillId="0" borderId="8" xfId="0" applyNumberFormat="1" applyFont="1" applyFill="1" applyBorder="1" applyAlignment="1">
      <alignment horizontal="center" vertical="center" wrapText="1"/>
    </xf>
    <xf numFmtId="3" fontId="25" fillId="0" borderId="31" xfId="0" applyNumberFormat="1" applyFont="1" applyFill="1" applyBorder="1" applyAlignment="1">
      <alignment horizontal="center" vertical="center" wrapText="1"/>
    </xf>
    <xf numFmtId="0" fontId="23" fillId="0" borderId="49" xfId="0" applyFont="1" applyFill="1" applyBorder="1" applyAlignment="1">
      <alignment horizontal="center" vertical="center" wrapText="1"/>
    </xf>
    <xf numFmtId="0" fontId="24" fillId="0" borderId="49" xfId="0" applyFont="1" applyFill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6" borderId="49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 wrapText="1"/>
    </xf>
    <xf numFmtId="0" fontId="24" fillId="0" borderId="51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24" fillId="6" borderId="50" xfId="0" applyFont="1" applyFill="1" applyBorder="1" applyAlignment="1">
      <alignment horizontal="center" vertical="center"/>
    </xf>
    <xf numFmtId="0" fontId="24" fillId="6" borderId="51" xfId="0" applyFont="1" applyFill="1" applyBorder="1" applyAlignment="1">
      <alignment horizontal="center" vertical="center"/>
    </xf>
    <xf numFmtId="0" fontId="24" fillId="6" borderId="56" xfId="0" applyFont="1" applyFill="1" applyBorder="1" applyAlignment="1">
      <alignment horizontal="center" vertical="center"/>
    </xf>
    <xf numFmtId="0" fontId="25" fillId="0" borderId="49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25" fillId="6" borderId="49" xfId="0" applyFont="1" applyFill="1" applyBorder="1" applyAlignment="1">
      <alignment horizontal="center" vertical="center" wrapText="1"/>
    </xf>
    <xf numFmtId="0" fontId="15" fillId="6" borderId="49" xfId="0" applyFont="1" applyFill="1" applyBorder="1" applyAlignment="1">
      <alignment horizontal="center" vertical="center" wrapText="1"/>
    </xf>
    <xf numFmtId="0" fontId="25" fillId="6" borderId="49" xfId="0" applyFont="1" applyFill="1" applyBorder="1" applyAlignment="1">
      <alignment horizontal="center" vertical="center"/>
    </xf>
    <xf numFmtId="0" fontId="15" fillId="6" borderId="49" xfId="0" applyFont="1" applyFill="1" applyBorder="1" applyAlignment="1">
      <alignment horizontal="center" vertical="center"/>
    </xf>
    <xf numFmtId="0" fontId="25" fillId="6" borderId="52" xfId="0" applyFont="1" applyFill="1" applyBorder="1" applyAlignment="1">
      <alignment horizontal="center"/>
    </xf>
    <xf numFmtId="0" fontId="15" fillId="0" borderId="49" xfId="0" applyFont="1" applyFill="1" applyBorder="1" applyAlignment="1">
      <alignment horizontal="center" vertical="center" wrapText="1"/>
    </xf>
    <xf numFmtId="49" fontId="25" fillId="0" borderId="49" xfId="0" applyNumberFormat="1" applyFont="1" applyFill="1" applyBorder="1" applyAlignment="1">
      <alignment horizontal="center" vertical="center" wrapText="1"/>
    </xf>
    <xf numFmtId="0" fontId="25" fillId="0" borderId="49" xfId="0" applyFont="1" applyFill="1" applyBorder="1" applyAlignment="1">
      <alignment horizontal="center" vertical="center"/>
    </xf>
    <xf numFmtId="0" fontId="25" fillId="0" borderId="52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/>
    </xf>
    <xf numFmtId="0" fontId="23" fillId="0" borderId="49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49" fontId="16" fillId="0" borderId="49" xfId="0" applyNumberFormat="1" applyFont="1" applyFill="1" applyBorder="1" applyAlignment="1">
      <alignment horizontal="center" vertical="center" wrapText="1"/>
    </xf>
    <xf numFmtId="49" fontId="31" fillId="0" borderId="49" xfId="0" applyNumberFormat="1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/>
    </xf>
    <xf numFmtId="0" fontId="24" fillId="0" borderId="52" xfId="0" applyFont="1" applyFill="1" applyBorder="1" applyAlignment="1">
      <alignment horizontal="center" vertical="center"/>
    </xf>
    <xf numFmtId="0" fontId="25" fillId="0" borderId="50" xfId="0" applyFont="1" applyFill="1" applyBorder="1" applyAlignment="1">
      <alignment horizontal="center" vertical="center" wrapText="1"/>
    </xf>
    <xf numFmtId="0" fontId="25" fillId="0" borderId="51" xfId="0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/>
    </xf>
    <xf numFmtId="49" fontId="28" fillId="0" borderId="49" xfId="0" applyNumberFormat="1" applyFont="1" applyFill="1" applyBorder="1" applyAlignment="1">
      <alignment horizontal="center" vertical="center" wrapText="1"/>
    </xf>
    <xf numFmtId="49" fontId="15" fillId="0" borderId="49" xfId="0" applyNumberFormat="1" applyFont="1" applyFill="1" applyBorder="1" applyAlignment="1">
      <alignment horizontal="center" vertical="center" wrapText="1"/>
    </xf>
    <xf numFmtId="49" fontId="15" fillId="0" borderId="52" xfId="0" applyNumberFormat="1" applyFont="1" applyFill="1" applyBorder="1" applyAlignment="1">
      <alignment horizontal="center" vertical="center" wrapText="1"/>
    </xf>
    <xf numFmtId="3" fontId="15" fillId="0" borderId="50" xfId="0" applyNumberFormat="1" applyFont="1" applyFill="1" applyBorder="1" applyAlignment="1" applyProtection="1">
      <alignment horizontal="center"/>
      <protection locked="0"/>
    </xf>
    <xf numFmtId="0" fontId="25" fillId="0" borderId="51" xfId="0" applyFont="1" applyBorder="1" applyAlignment="1">
      <alignment horizontal="center"/>
    </xf>
    <xf numFmtId="0" fontId="25" fillId="0" borderId="51" xfId="0" applyFont="1" applyFill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0" borderId="49" xfId="0" applyFont="1" applyBorder="1" applyAlignment="1">
      <alignment horizontal="center" vertical="center" wrapText="1"/>
    </xf>
    <xf numFmtId="49" fontId="25" fillId="0" borderId="56" xfId="0" applyNumberFormat="1" applyFont="1" applyFill="1" applyBorder="1" applyAlignment="1">
      <alignment horizontal="center" vertical="center" wrapText="1"/>
    </xf>
    <xf numFmtId="49" fontId="15" fillId="0" borderId="49" xfId="0" applyNumberFormat="1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3" fontId="24" fillId="0" borderId="3" xfId="0" applyNumberFormat="1" applyFont="1" applyBorder="1" applyAlignment="1">
      <alignment horizontal="center" vertical="center"/>
    </xf>
    <xf numFmtId="3" fontId="24" fillId="2" borderId="2" xfId="0" applyNumberFormat="1" applyFont="1" applyFill="1" applyBorder="1" applyAlignment="1">
      <alignment horizontal="center" vertical="center"/>
    </xf>
    <xf numFmtId="3" fontId="24" fillId="0" borderId="15" xfId="0" applyNumberFormat="1" applyFont="1" applyBorder="1" applyAlignment="1">
      <alignment horizontal="center" vertical="center"/>
    </xf>
    <xf numFmtId="3" fontId="24" fillId="0" borderId="3" xfId="0" applyNumberFormat="1" applyFont="1" applyFill="1" applyBorder="1" applyAlignment="1">
      <alignment horizontal="center" vertical="center"/>
    </xf>
    <xf numFmtId="0" fontId="16" fillId="0" borderId="21" xfId="0" applyFont="1" applyFill="1" applyBorder="1" applyAlignment="1" applyProtection="1">
      <alignment horizontal="center" wrapText="1"/>
      <protection locked="0"/>
    </xf>
    <xf numFmtId="0" fontId="24" fillId="0" borderId="9" xfId="0" applyFont="1" applyFill="1" applyBorder="1" applyAlignment="1">
      <alignment horizontal="left" vertical="center" wrapText="1"/>
    </xf>
    <xf numFmtId="0" fontId="51" fillId="0" borderId="37" xfId="0" applyFont="1" applyBorder="1" applyAlignment="1">
      <alignment horizontal="center" vertical="center"/>
    </xf>
    <xf numFmtId="3" fontId="24" fillId="0" borderId="4" xfId="0" applyNumberFormat="1" applyFont="1" applyBorder="1" applyAlignment="1">
      <alignment horizontal="right" vertical="center"/>
    </xf>
    <xf numFmtId="0" fontId="24" fillId="9" borderId="21" xfId="0" applyFont="1" applyFill="1" applyBorder="1" applyAlignment="1">
      <alignment horizontal="left" vertical="center"/>
    </xf>
    <xf numFmtId="0" fontId="51" fillId="0" borderId="3" xfId="0" applyFont="1" applyBorder="1" applyAlignment="1">
      <alignment horizontal="center" vertical="center"/>
    </xf>
    <xf numFmtId="3" fontId="24" fillId="2" borderId="3" xfId="0" applyNumberFormat="1" applyFont="1" applyFill="1" applyBorder="1" applyAlignment="1">
      <alignment horizontal="center" vertical="center"/>
    </xf>
    <xf numFmtId="3" fontId="24" fillId="0" borderId="33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>
      <alignment horizontal="center" vertical="center"/>
    </xf>
  </cellXfs>
  <cellStyles count="8">
    <cellStyle name="Ezres" xfId="1" builtinId="3"/>
    <cellStyle name="Normál" xfId="0" builtinId="0"/>
    <cellStyle name="Normál 2" xfId="2"/>
    <cellStyle name="Normál 3" xfId="3"/>
    <cellStyle name="Normál 4" xfId="4"/>
    <cellStyle name="Normál_2 b normatíva 2012 VII mód" xfId="5"/>
    <cellStyle name="Normál_2011. évi Eredeti KIADÁS" xfId="6"/>
    <cellStyle name="Normál_2014 évi ktv I mód ELŐTERJESZTÉS" xfId="7"/>
  </cellStyles>
  <dxfs count="1">
    <dxf>
      <font>
        <b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66CC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FEFE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CC33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S50"/>
  <sheetViews>
    <sheetView tabSelected="1" zoomScaleNormal="100" zoomScaleSheetLayoutView="100" workbookViewId="0">
      <selection sqref="A1:L1"/>
    </sheetView>
  </sheetViews>
  <sheetFormatPr defaultRowHeight="12.75"/>
  <cols>
    <col min="1" max="1" width="51.42578125" style="1" customWidth="1"/>
    <col min="2" max="2" width="17" style="1" customWidth="1"/>
    <col min="3" max="4" width="0" style="1" hidden="1" customWidth="1"/>
    <col min="5" max="5" width="15" style="1" customWidth="1"/>
    <col min="6" max="6" width="17" style="1" customWidth="1"/>
    <col min="7" max="7" width="49" style="1" customWidth="1"/>
    <col min="8" max="8" width="15.85546875" style="1" customWidth="1"/>
    <col min="9" max="10" width="0" style="1" hidden="1" customWidth="1"/>
    <col min="11" max="11" width="15.7109375" style="1" customWidth="1"/>
    <col min="12" max="12" width="16" style="2" customWidth="1"/>
    <col min="13" max="13" width="9.140625" style="3"/>
    <col min="14" max="16384" width="9.140625" style="1"/>
  </cols>
  <sheetData>
    <row r="1" spans="1:13" s="5" customFormat="1" ht="42" customHeight="1">
      <c r="A1" s="1697" t="s">
        <v>1347</v>
      </c>
      <c r="B1" s="1697"/>
      <c r="C1" s="1697"/>
      <c r="D1" s="1697"/>
      <c r="E1" s="1697"/>
      <c r="F1" s="1697"/>
      <c r="G1" s="1697"/>
      <c r="H1" s="1697"/>
      <c r="I1" s="1697"/>
      <c r="J1" s="1697"/>
      <c r="K1" s="1697"/>
      <c r="L1" s="1697"/>
      <c r="M1" s="4"/>
    </row>
    <row r="2" spans="1:13" ht="15" customHeight="1">
      <c r="A2" s="6"/>
      <c r="B2" s="6"/>
      <c r="C2" s="7"/>
      <c r="D2" s="7"/>
      <c r="E2" s="7"/>
      <c r="F2" s="7"/>
      <c r="G2" s="7"/>
      <c r="H2" s="7"/>
      <c r="I2" s="7"/>
      <c r="K2" s="8"/>
      <c r="L2" s="9" t="s">
        <v>0</v>
      </c>
    </row>
    <row r="3" spans="1:13" s="15" customFormat="1" ht="34.5" customHeight="1">
      <c r="A3" s="10" t="s">
        <v>1</v>
      </c>
      <c r="B3" s="11" t="s">
        <v>2</v>
      </c>
      <c r="C3" s="11" t="s">
        <v>3</v>
      </c>
      <c r="D3" s="12" t="s">
        <v>4</v>
      </c>
      <c r="E3" s="11" t="s">
        <v>5</v>
      </c>
      <c r="F3" s="12" t="s">
        <v>6</v>
      </c>
      <c r="G3" s="13" t="s">
        <v>7</v>
      </c>
      <c r="H3" s="11" t="s">
        <v>2</v>
      </c>
      <c r="I3" s="11" t="s">
        <v>3</v>
      </c>
      <c r="J3" s="12" t="s">
        <v>4</v>
      </c>
      <c r="K3" s="11" t="s">
        <v>5</v>
      </c>
      <c r="L3" s="12" t="s">
        <v>6</v>
      </c>
      <c r="M3" s="14"/>
    </row>
    <row r="4" spans="1:13" s="15" customFormat="1" ht="21" customHeight="1">
      <c r="A4" s="1698" t="s">
        <v>8</v>
      </c>
      <c r="B4" s="1698"/>
      <c r="C4" s="1698"/>
      <c r="D4" s="1698"/>
      <c r="E4" s="1698"/>
      <c r="F4" s="1698"/>
      <c r="G4" s="1698"/>
      <c r="H4" s="1698"/>
      <c r="I4" s="1698"/>
      <c r="J4" s="1698"/>
      <c r="K4" s="1698"/>
      <c r="L4" s="16"/>
      <c r="M4" s="14"/>
    </row>
    <row r="5" spans="1:13" s="21" customFormat="1" ht="20.25" customHeight="1">
      <c r="A5" s="17" t="s">
        <v>9</v>
      </c>
      <c r="B5" s="17"/>
      <c r="C5" s="18"/>
      <c r="D5" s="18"/>
      <c r="E5" s="18"/>
      <c r="F5" s="18"/>
      <c r="G5" s="17" t="s">
        <v>10</v>
      </c>
      <c r="H5" s="17"/>
      <c r="I5" s="18"/>
      <c r="J5" s="18"/>
      <c r="K5" s="18"/>
      <c r="L5" s="19"/>
      <c r="M5" s="20"/>
    </row>
    <row r="6" spans="1:13" s="15" customFormat="1" ht="14.1" customHeight="1">
      <c r="A6" s="22" t="s">
        <v>11</v>
      </c>
      <c r="B6" s="23">
        <f>'3 m Kiad'!N9</f>
        <v>4602727573</v>
      </c>
      <c r="C6" s="23">
        <f>'3 m Kiad'!O9</f>
        <v>4667332932</v>
      </c>
      <c r="D6" s="24">
        <f>'3 m Kiad'!P9</f>
        <v>33588976</v>
      </c>
      <c r="E6" s="23">
        <f>'3 m Kiad'!Q9</f>
        <v>4880806499</v>
      </c>
      <c r="F6" s="23">
        <f>'3 m Kiad'!R9</f>
        <v>4615530114</v>
      </c>
      <c r="G6" s="26" t="s">
        <v>12</v>
      </c>
      <c r="H6" s="25">
        <f>'2 m Bev'!N10</f>
        <v>3203180949</v>
      </c>
      <c r="I6" s="25">
        <f>'2 m Bev'!O10</f>
        <v>3330693905</v>
      </c>
      <c r="J6" s="27">
        <f>'2 m Bev'!P10</f>
        <v>-11107122</v>
      </c>
      <c r="K6" s="23">
        <f>'2 m Bev'!Q10</f>
        <v>3507560227</v>
      </c>
      <c r="L6" s="23">
        <f>'2 m Bev'!R10</f>
        <v>3507339901</v>
      </c>
      <c r="M6" s="14"/>
    </row>
    <row r="7" spans="1:13" s="15" customFormat="1" ht="14.1" customHeight="1">
      <c r="A7" s="26" t="s">
        <v>13</v>
      </c>
      <c r="B7" s="25">
        <f>'3 m Kiad'!N12</f>
        <v>1331437888</v>
      </c>
      <c r="C7" s="25">
        <f>'3 m Kiad'!O12</f>
        <v>1364484361</v>
      </c>
      <c r="D7" s="27">
        <f>'3 m Kiad'!P12</f>
        <v>9470716</v>
      </c>
      <c r="E7" s="25">
        <f>'3 m Kiad'!Q12</f>
        <v>1412746778</v>
      </c>
      <c r="F7" s="25">
        <f>'3 m Kiad'!R12</f>
        <v>1327592192</v>
      </c>
      <c r="G7" s="26" t="s">
        <v>14</v>
      </c>
      <c r="H7" s="25">
        <f>'2 m Bev'!N16</f>
        <v>8351767000</v>
      </c>
      <c r="I7" s="25">
        <f>'2 m Bev'!O16</f>
        <v>8424867000</v>
      </c>
      <c r="J7" s="27">
        <f>'2 m Bev'!P16</f>
        <v>0</v>
      </c>
      <c r="K7" s="25">
        <f>'2 m Bev'!Q16</f>
        <v>8674671840</v>
      </c>
      <c r="L7" s="25">
        <f>'2 m Bev'!R16</f>
        <v>8661758219</v>
      </c>
      <c r="M7" s="14"/>
    </row>
    <row r="8" spans="1:13" s="15" customFormat="1" ht="14.1" customHeight="1">
      <c r="A8" s="26" t="s">
        <v>15</v>
      </c>
      <c r="B8" s="25">
        <f>'3 m Kiad'!N13</f>
        <v>5606663824</v>
      </c>
      <c r="C8" s="25">
        <f>'3 m Kiad'!O13</f>
        <v>5884486540</v>
      </c>
      <c r="D8" s="27">
        <f>'3 m Kiad'!P13</f>
        <v>-38206062</v>
      </c>
      <c r="E8" s="25">
        <f>'3 m Kiad'!Q13</f>
        <v>6247148850</v>
      </c>
      <c r="F8" s="25">
        <f>'3 m Kiad'!R13</f>
        <v>5144908285</v>
      </c>
      <c r="G8" s="26" t="s">
        <v>16</v>
      </c>
      <c r="H8" s="25">
        <f>'2 m Bev'!N25</f>
        <v>1288526336</v>
      </c>
      <c r="I8" s="25">
        <f>'2 m Bev'!O25</f>
        <v>1307546061</v>
      </c>
      <c r="J8" s="27">
        <f>'2 m Bev'!P25</f>
        <v>11376772</v>
      </c>
      <c r="K8" s="25">
        <f>'2 m Bev'!Q25</f>
        <v>1429685372</v>
      </c>
      <c r="L8" s="25">
        <f>'2 m Bev'!R25</f>
        <v>1374429930</v>
      </c>
      <c r="M8" s="14"/>
    </row>
    <row r="9" spans="1:13" s="15" customFormat="1" ht="14.1" customHeight="1">
      <c r="A9" s="26" t="s">
        <v>17</v>
      </c>
      <c r="B9" s="25">
        <f>'3 m Kiad'!N17</f>
        <v>334589000</v>
      </c>
      <c r="C9" s="25">
        <f>'3 m Kiad'!O17</f>
        <v>334949000</v>
      </c>
      <c r="D9" s="27">
        <f>'3 m Kiad'!P17</f>
        <v>160000</v>
      </c>
      <c r="E9" s="25">
        <f>'3 m Kiad'!Q17</f>
        <v>344281739</v>
      </c>
      <c r="F9" s="25">
        <f>'3 m Kiad'!R17</f>
        <v>245442053</v>
      </c>
      <c r="G9" s="26" t="s">
        <v>18</v>
      </c>
      <c r="H9" s="25">
        <f>'2 m Bev'!N30</f>
        <v>0</v>
      </c>
      <c r="I9" s="25">
        <f>'2 m Bev'!O30</f>
        <v>0</v>
      </c>
      <c r="J9" s="27">
        <f>'2 m Bev'!P30</f>
        <v>0</v>
      </c>
      <c r="K9" s="25">
        <f>'2 m Bev'!Q30</f>
        <v>2516743</v>
      </c>
      <c r="L9" s="25">
        <f>'2 m Bev'!R30</f>
        <v>1207850</v>
      </c>
      <c r="M9" s="14"/>
    </row>
    <row r="10" spans="1:13" s="15" customFormat="1" ht="16.5" customHeight="1">
      <c r="A10" s="26" t="s">
        <v>19</v>
      </c>
      <c r="B10" s="25">
        <f>'3 m Kiad'!N18</f>
        <v>557368000</v>
      </c>
      <c r="C10" s="25">
        <f>'3 m Kiad'!O18</f>
        <v>1518908625</v>
      </c>
      <c r="D10" s="27">
        <f>'3 m Kiad'!P18</f>
        <v>170308965</v>
      </c>
      <c r="E10" s="25">
        <f>'3 m Kiad'!Q18</f>
        <v>2195195002</v>
      </c>
      <c r="F10" s="25">
        <f>'3 m Kiad'!R18</f>
        <v>377168783</v>
      </c>
      <c r="G10" s="26"/>
      <c r="H10" s="26"/>
      <c r="I10" s="25"/>
      <c r="J10" s="27"/>
      <c r="K10" s="25"/>
      <c r="L10" s="28"/>
      <c r="M10" s="14"/>
    </row>
    <row r="11" spans="1:13" s="15" customFormat="1" ht="14.1" hidden="1" customHeight="1">
      <c r="A11" s="26"/>
      <c r="B11" s="26"/>
      <c r="C11" s="25"/>
      <c r="D11" s="27"/>
      <c r="E11" s="25">
        <f>SUM(C11:D11)</f>
        <v>0</v>
      </c>
      <c r="F11" s="25"/>
      <c r="G11" s="26"/>
      <c r="H11" s="26"/>
      <c r="I11" s="25"/>
      <c r="J11" s="27"/>
      <c r="K11" s="25">
        <f>SUM(I11:J11)</f>
        <v>0</v>
      </c>
      <c r="L11" s="28"/>
      <c r="M11" s="14"/>
    </row>
    <row r="12" spans="1:13" s="21" customFormat="1" ht="16.5" customHeight="1">
      <c r="A12" s="29" t="s">
        <v>20</v>
      </c>
      <c r="B12" s="30">
        <f>SUM(B6:B11)</f>
        <v>12432786285</v>
      </c>
      <c r="C12" s="30">
        <f>SUM(C6:C11)</f>
        <v>13770161458</v>
      </c>
      <c r="D12" s="30">
        <f>SUM(D6:D11)</f>
        <v>175322595</v>
      </c>
      <c r="E12" s="30">
        <f>SUM(E6:E11)</f>
        <v>15080178868</v>
      </c>
      <c r="F12" s="30">
        <f>SUM(F6:F11)</f>
        <v>11710641427</v>
      </c>
      <c r="G12" s="29" t="s">
        <v>21</v>
      </c>
      <c r="H12" s="30">
        <f>SUM(H6:H11)</f>
        <v>12843474285</v>
      </c>
      <c r="I12" s="30">
        <f>SUM(I6:I11)</f>
        <v>13063106966</v>
      </c>
      <c r="J12" s="30">
        <f>SUM(J6:J11)</f>
        <v>269650</v>
      </c>
      <c r="K12" s="30">
        <f>SUM(K6:K11)</f>
        <v>13614434182</v>
      </c>
      <c r="L12" s="30">
        <f>SUM(L6:L11)</f>
        <v>13544735900</v>
      </c>
      <c r="M12" s="20"/>
    </row>
    <row r="13" spans="1:13" s="15" customFormat="1" ht="13.5" customHeight="1">
      <c r="A13" s="31"/>
      <c r="B13" s="31"/>
      <c r="C13" s="31"/>
      <c r="D13" s="31"/>
      <c r="E13" s="31">
        <f>SUM(C13:D13)</f>
        <v>0</v>
      </c>
      <c r="F13" s="31"/>
      <c r="G13" s="32" t="s">
        <v>22</v>
      </c>
      <c r="H13" s="33">
        <f>H12-B12</f>
        <v>410688000</v>
      </c>
      <c r="I13" s="33">
        <f>I12-C12</f>
        <v>-707054492</v>
      </c>
      <c r="J13" s="33">
        <f>J12-D12</f>
        <v>-175052945</v>
      </c>
      <c r="K13" s="33">
        <f>K12-E12</f>
        <v>-1465744686</v>
      </c>
      <c r="L13" s="33">
        <f>L12-F12</f>
        <v>1834094473</v>
      </c>
      <c r="M13" s="14"/>
    </row>
    <row r="14" spans="1:13" s="15" customFormat="1" ht="19.5" customHeight="1">
      <c r="A14" s="1699" t="s">
        <v>23</v>
      </c>
      <c r="B14" s="1699"/>
      <c r="C14" s="1699"/>
      <c r="D14" s="1699"/>
      <c r="E14" s="1699"/>
      <c r="F14" s="1699"/>
      <c r="G14" s="1699"/>
      <c r="H14" s="1699"/>
      <c r="I14" s="1699"/>
      <c r="J14" s="1699"/>
      <c r="K14" s="1699"/>
      <c r="L14" s="16"/>
      <c r="M14" s="14"/>
    </row>
    <row r="15" spans="1:13" s="15" customFormat="1" ht="17.25" customHeight="1">
      <c r="A15" s="17" t="s">
        <v>24</v>
      </c>
      <c r="B15" s="17"/>
      <c r="C15" s="34"/>
      <c r="D15" s="34"/>
      <c r="E15" s="34"/>
      <c r="F15" s="34"/>
      <c r="G15" s="17" t="s">
        <v>25</v>
      </c>
      <c r="H15" s="17"/>
      <c r="I15" s="34"/>
      <c r="J15" s="34"/>
      <c r="K15" s="34"/>
      <c r="L15" s="35"/>
      <c r="M15" s="14"/>
    </row>
    <row r="16" spans="1:13" s="15" customFormat="1" ht="14.1" customHeight="1">
      <c r="A16" s="26" t="s">
        <v>26</v>
      </c>
      <c r="B16" s="36">
        <f>'3 m Kiad'!N30</f>
        <v>1767488000</v>
      </c>
      <c r="C16" s="36">
        <f>'3 m Kiad'!O30</f>
        <v>2064715824</v>
      </c>
      <c r="D16" s="37">
        <f>'3 m Kiad'!P30</f>
        <v>41253661</v>
      </c>
      <c r="E16" s="23">
        <f>'3 m Kiad'!Q30</f>
        <v>1897363768</v>
      </c>
      <c r="F16" s="23">
        <f>'3 m Kiad'!R30</f>
        <v>989396462</v>
      </c>
      <c r="G16" s="26" t="s">
        <v>27</v>
      </c>
      <c r="H16" s="36">
        <f>'2 m Bev'!N36</f>
        <v>286000000</v>
      </c>
      <c r="I16" s="36">
        <f>'2 m Bev'!O36</f>
        <v>306000000</v>
      </c>
      <c r="J16" s="37">
        <f>'2 m Bev'!P36</f>
        <v>0</v>
      </c>
      <c r="K16" s="23">
        <f>'2 m Bev'!Q36</f>
        <v>307278246</v>
      </c>
      <c r="L16" s="23">
        <f>'2 m Bev'!R36</f>
        <v>264123101</v>
      </c>
      <c r="M16" s="14"/>
    </row>
    <row r="17" spans="1:19" s="15" customFormat="1" ht="14.1" customHeight="1">
      <c r="A17" s="26" t="s">
        <v>28</v>
      </c>
      <c r="B17" s="38">
        <f>'3 m Kiad'!N31</f>
        <v>1974613000</v>
      </c>
      <c r="C17" s="38">
        <f>'3 m Kiad'!O31</f>
        <v>2099587219</v>
      </c>
      <c r="D17" s="39">
        <f>'3 m Kiad'!P31</f>
        <v>-194847940</v>
      </c>
      <c r="E17" s="25">
        <f>'3 m Kiad'!Q31</f>
        <v>1888467205</v>
      </c>
      <c r="F17" s="25">
        <f>'3 m Kiad'!R31</f>
        <v>1781245354</v>
      </c>
      <c r="G17" s="26" t="s">
        <v>29</v>
      </c>
      <c r="H17" s="38">
        <f>'2 m Bev'!N37</f>
        <v>715178000</v>
      </c>
      <c r="I17" s="38">
        <f>'2 m Bev'!O37</f>
        <v>722273930</v>
      </c>
      <c r="J17" s="39">
        <f>'2 m Bev'!P37</f>
        <v>33342000</v>
      </c>
      <c r="K17" s="25">
        <f>'2 m Bev'!Q37</f>
        <v>765219202</v>
      </c>
      <c r="L17" s="25">
        <f>'2 m Bev'!R37</f>
        <v>764019202</v>
      </c>
      <c r="M17" s="14"/>
    </row>
    <row r="18" spans="1:19" s="15" customFormat="1" ht="14.1" customHeight="1">
      <c r="A18" s="26" t="s">
        <v>30</v>
      </c>
      <c r="B18" s="38">
        <f>'3 m Kiad'!N32</f>
        <v>174575000</v>
      </c>
      <c r="C18" s="38">
        <f>'3 m Kiad'!O32</f>
        <v>178575000</v>
      </c>
      <c r="D18" s="39">
        <f>'3 m Kiad'!P32</f>
        <v>10800000</v>
      </c>
      <c r="E18" s="25">
        <f>'3 m Kiad'!Q32</f>
        <v>193998068</v>
      </c>
      <c r="F18" s="25">
        <f>'3 m Kiad'!R32</f>
        <v>118500543</v>
      </c>
      <c r="G18" s="26" t="s">
        <v>31</v>
      </c>
      <c r="H18" s="38">
        <f>'2 m Bev'!N42</f>
        <v>85300000</v>
      </c>
      <c r="I18" s="38">
        <f>'2 m Bev'!O42</f>
        <v>85300000</v>
      </c>
      <c r="J18" s="39">
        <f>'2 m Bev'!P42</f>
        <v>0</v>
      </c>
      <c r="K18" s="25">
        <f>'2 m Bev'!Q42</f>
        <v>101276901</v>
      </c>
      <c r="L18" s="25">
        <f>'2 m Bev'!R42</f>
        <v>94144255</v>
      </c>
      <c r="M18" s="14"/>
    </row>
    <row r="19" spans="1:19" s="15" customFormat="1" ht="14.1" hidden="1" customHeight="1">
      <c r="A19" s="26"/>
      <c r="B19" s="26"/>
      <c r="C19" s="38"/>
      <c r="D19" s="39"/>
      <c r="E19" s="25">
        <f>SUM(C19:D19)</f>
        <v>0</v>
      </c>
      <c r="F19" s="23"/>
      <c r="G19" s="26"/>
      <c r="H19" s="26"/>
      <c r="I19" s="38"/>
      <c r="J19" s="39"/>
      <c r="K19" s="25">
        <f>SUM(I19:J19)</f>
        <v>0</v>
      </c>
      <c r="L19" s="28"/>
      <c r="M19" s="14"/>
    </row>
    <row r="20" spans="1:19" s="15" customFormat="1" ht="17.25" customHeight="1">
      <c r="A20" s="40" t="s">
        <v>32</v>
      </c>
      <c r="B20" s="41">
        <f>SUM(B16:B19)</f>
        <v>3916676000</v>
      </c>
      <c r="C20" s="41">
        <f>SUM(C16:C19)</f>
        <v>4342878043</v>
      </c>
      <c r="D20" s="41">
        <f>SUM(D16:D19)</f>
        <v>-142794279</v>
      </c>
      <c r="E20" s="41">
        <f>SUM(E16:E19)</f>
        <v>3979829041</v>
      </c>
      <c r="F20" s="41">
        <f>SUM(F16:F19)</f>
        <v>2889142359</v>
      </c>
      <c r="G20" s="29" t="s">
        <v>33</v>
      </c>
      <c r="H20" s="41">
        <f>SUM(H16:H19)</f>
        <v>1086478000</v>
      </c>
      <c r="I20" s="41">
        <f>SUM(I16:I19)</f>
        <v>1113573930</v>
      </c>
      <c r="J20" s="41">
        <f>SUM(J16:J19)</f>
        <v>33342000</v>
      </c>
      <c r="K20" s="41">
        <f>SUM(K16:K19)</f>
        <v>1173774349</v>
      </c>
      <c r="L20" s="41">
        <f>SUM(L16:L19)</f>
        <v>1122286558</v>
      </c>
      <c r="M20" s="14"/>
    </row>
    <row r="21" spans="1:19" s="21" customFormat="1" ht="14.1" customHeight="1">
      <c r="A21" s="42"/>
      <c r="B21" s="42"/>
      <c r="C21" s="43"/>
      <c r="D21" s="43"/>
      <c r="E21" s="43">
        <f>SUM(C21:D21)</f>
        <v>0</v>
      </c>
      <c r="F21" s="43"/>
      <c r="G21" s="32" t="s">
        <v>34</v>
      </c>
      <c r="H21" s="33">
        <f>H20-B20</f>
        <v>-2830198000</v>
      </c>
      <c r="I21" s="33">
        <f>I20-C20</f>
        <v>-3229304113</v>
      </c>
      <c r="J21" s="33">
        <f>J20-D20</f>
        <v>176136279</v>
      </c>
      <c r="K21" s="33">
        <f>K20-E20</f>
        <v>-2806054692</v>
      </c>
      <c r="L21" s="33">
        <f>L20-F20</f>
        <v>-1766855801</v>
      </c>
      <c r="M21" s="20"/>
    </row>
    <row r="22" spans="1:19" s="15" customFormat="1" ht="18.75" customHeight="1">
      <c r="A22" s="29" t="s">
        <v>35</v>
      </c>
      <c r="B22" s="30">
        <f>B12+B20</f>
        <v>16349462285</v>
      </c>
      <c r="C22" s="30">
        <f>C12+C20</f>
        <v>18113039501</v>
      </c>
      <c r="D22" s="30">
        <f>D12+D20</f>
        <v>32528316</v>
      </c>
      <c r="E22" s="30">
        <f>E12+E20</f>
        <v>19060007909</v>
      </c>
      <c r="F22" s="30">
        <f>F12+F20</f>
        <v>14599783786</v>
      </c>
      <c r="G22" s="29" t="s">
        <v>36</v>
      </c>
      <c r="H22" s="30">
        <f>H12+H20</f>
        <v>13929952285</v>
      </c>
      <c r="I22" s="30">
        <f>I12+I20</f>
        <v>14176680896</v>
      </c>
      <c r="J22" s="30">
        <f>J12+J20</f>
        <v>33611650</v>
      </c>
      <c r="K22" s="30">
        <f>K12+K20</f>
        <v>14788208531</v>
      </c>
      <c r="L22" s="30">
        <f>L12+L20</f>
        <v>14667022458</v>
      </c>
      <c r="M22" s="14"/>
      <c r="S22" s="15" t="s">
        <v>37</v>
      </c>
    </row>
    <row r="23" spans="1:19" s="15" customFormat="1" ht="15.75">
      <c r="A23" s="1699" t="s">
        <v>38</v>
      </c>
      <c r="B23" s="1699"/>
      <c r="C23" s="1699"/>
      <c r="D23" s="1699"/>
      <c r="E23" s="1699"/>
      <c r="F23" s="1699"/>
      <c r="G23" s="1699"/>
      <c r="H23" s="1699"/>
      <c r="I23" s="1699"/>
      <c r="J23" s="1699"/>
      <c r="K23" s="1699"/>
      <c r="L23" s="16"/>
      <c r="M23" s="14"/>
    </row>
    <row r="24" spans="1:19" s="15" customFormat="1" ht="15.75" customHeight="1">
      <c r="A24" s="17" t="s">
        <v>39</v>
      </c>
      <c r="B24" s="17"/>
      <c r="C24" s="34"/>
      <c r="D24" s="34"/>
      <c r="E24" s="34"/>
      <c r="F24" s="34"/>
      <c r="G24" s="17" t="s">
        <v>40</v>
      </c>
      <c r="H24" s="17"/>
      <c r="I24" s="17"/>
      <c r="J24" s="17"/>
      <c r="K24" s="17"/>
      <c r="L24" s="17"/>
      <c r="M24" s="14"/>
    </row>
    <row r="25" spans="1:19" s="15" customFormat="1" ht="15" customHeight="1">
      <c r="A25" s="26" t="s">
        <v>41</v>
      </c>
      <c r="B25" s="36">
        <f>'3 m Kiad'!N42</f>
        <v>0</v>
      </c>
      <c r="C25" s="36">
        <f>'3 m Kiad'!O42</f>
        <v>0</v>
      </c>
      <c r="D25" s="37">
        <f>'3 m Kiad'!P42</f>
        <v>0</v>
      </c>
      <c r="E25" s="23">
        <f>'3 m Kiad'!Q42</f>
        <v>0</v>
      </c>
      <c r="F25" s="25">
        <f>'3 m Kiad'!R42</f>
        <v>0</v>
      </c>
      <c r="G25" s="26" t="s">
        <v>42</v>
      </c>
      <c r="H25" s="36">
        <f>'3 m Kiad'!N45</f>
        <v>0</v>
      </c>
      <c r="I25" s="36">
        <f>'3 m Kiad'!O45</f>
        <v>0</v>
      </c>
      <c r="J25" s="36">
        <f>'3 m Kiad'!P45</f>
        <v>0</v>
      </c>
      <c r="K25" s="36">
        <f>'3 m Kiad'!Q45</f>
        <v>5890000000</v>
      </c>
      <c r="L25" s="36">
        <f>'3 m Kiad'!R45</f>
        <v>5890000000</v>
      </c>
      <c r="M25" s="14"/>
    </row>
    <row r="26" spans="1:19" s="15" customFormat="1" ht="15" customHeight="1">
      <c r="A26" s="26" t="s">
        <v>43</v>
      </c>
      <c r="B26" s="38">
        <f>'3 m Kiad'!N48</f>
        <v>8124909298</v>
      </c>
      <c r="C26" s="38">
        <f>'3 m Kiad'!O48</f>
        <v>8412469938</v>
      </c>
      <c r="D26" s="39">
        <f>'3 m Kiad'!P48</f>
        <v>-207988645</v>
      </c>
      <c r="E26" s="25">
        <f>'3 m Kiad'!Q48</f>
        <v>8290936811</v>
      </c>
      <c r="F26" s="25">
        <f>'3 m Kiad'!R48</f>
        <v>7463846185</v>
      </c>
      <c r="G26" s="26" t="s">
        <v>44</v>
      </c>
      <c r="H26" s="38">
        <f>'2 m Bev'!N55</f>
        <v>2419510000</v>
      </c>
      <c r="I26" s="38">
        <f>'2 m Bev'!O55</f>
        <v>3936358605</v>
      </c>
      <c r="J26" s="39">
        <f>'2 m Bev'!P55</f>
        <v>-1083334</v>
      </c>
      <c r="K26" s="25">
        <f>'2 m Bev'!Q55</f>
        <v>4226116597</v>
      </c>
      <c r="L26" s="25">
        <f>'2 m Bev'!R55</f>
        <v>4226116585</v>
      </c>
      <c r="M26" s="14"/>
    </row>
    <row r="27" spans="1:19" s="15" customFormat="1" ht="14.1" customHeight="1">
      <c r="A27" s="26"/>
      <c r="B27" s="26"/>
      <c r="C27" s="44"/>
      <c r="D27" s="39"/>
      <c r="E27" s="25"/>
      <c r="F27" s="25"/>
      <c r="G27" s="26" t="s">
        <v>45</v>
      </c>
      <c r="H27" s="44">
        <f>'2 m Bev'!N59</f>
        <v>8124909298</v>
      </c>
      <c r="I27" s="44">
        <f>'2 m Bev'!O59</f>
        <v>8412469938</v>
      </c>
      <c r="J27" s="39">
        <f>'2 m Bev'!P59</f>
        <v>-207988645</v>
      </c>
      <c r="K27" s="25">
        <f>'2 m Bev'!Q59</f>
        <v>8290936811</v>
      </c>
      <c r="L27" s="25">
        <f>'2 m Bev'!R59</f>
        <v>7463846185</v>
      </c>
      <c r="M27" s="14"/>
    </row>
    <row r="28" spans="1:19" s="15" customFormat="1" ht="14.1" customHeight="1">
      <c r="A28" s="26"/>
      <c r="B28" s="26"/>
      <c r="C28" s="44"/>
      <c r="D28" s="39"/>
      <c r="E28" s="25"/>
      <c r="F28" s="25"/>
      <c r="G28" s="1678" t="s">
        <v>1343</v>
      </c>
      <c r="H28" s="44">
        <f>'2 m Bev'!N58</f>
        <v>0</v>
      </c>
      <c r="I28" s="44">
        <f>'2 m Bev'!O58</f>
        <v>0</v>
      </c>
      <c r="J28" s="44">
        <f>'2 m Bev'!P58</f>
        <v>0</v>
      </c>
      <c r="K28" s="44">
        <f>'2 m Bev'!Q58</f>
        <v>45682781</v>
      </c>
      <c r="L28" s="44">
        <f>'2 m Bev'!R58</f>
        <v>45682781</v>
      </c>
      <c r="M28" s="14"/>
    </row>
    <row r="29" spans="1:19" s="15" customFormat="1" ht="18" customHeight="1">
      <c r="A29" s="45" t="s">
        <v>46</v>
      </c>
      <c r="B29" s="46">
        <f>SUM(B25:B27)</f>
        <v>8124909298</v>
      </c>
      <c r="C29" s="46">
        <f>SUM(C25:C27)</f>
        <v>8412469938</v>
      </c>
      <c r="D29" s="46">
        <f>SUM(D25:D27)</f>
        <v>-207988645</v>
      </c>
      <c r="E29" s="46">
        <f>SUM(E25:E27)</f>
        <v>8290936811</v>
      </c>
      <c r="F29" s="46">
        <f>SUM(F25:F27)</f>
        <v>7463846185</v>
      </c>
      <c r="G29" s="45" t="s">
        <v>47</v>
      </c>
      <c r="H29" s="46">
        <f>SUM(H25:H28)</f>
        <v>10544419298</v>
      </c>
      <c r="I29" s="46">
        <f>SUM(I25:I28)</f>
        <v>12348828543</v>
      </c>
      <c r="J29" s="46">
        <f>SUM(J25:J28)</f>
        <v>-209071979</v>
      </c>
      <c r="K29" s="46">
        <f>SUM(K25:K28)</f>
        <v>18452736189</v>
      </c>
      <c r="L29" s="46">
        <f>SUM(L25:L28)</f>
        <v>17625645551</v>
      </c>
      <c r="M29" s="14"/>
    </row>
    <row r="30" spans="1:19" s="15" customFormat="1" ht="14.1" customHeight="1">
      <c r="A30" s="26" t="s">
        <v>48</v>
      </c>
      <c r="B30" s="26"/>
      <c r="C30" s="38">
        <f>'3 m Kiad'!O45</f>
        <v>0</v>
      </c>
      <c r="D30" s="38">
        <f>'3 m Kiad'!P45</f>
        <v>0</v>
      </c>
      <c r="E30" s="38">
        <f>'3 m Kiad'!Q45</f>
        <v>5890000000</v>
      </c>
      <c r="F30" s="38">
        <f>'3 m Kiad'!R45</f>
        <v>5890000000</v>
      </c>
      <c r="G30" s="26" t="s">
        <v>49</v>
      </c>
      <c r="H30" s="26"/>
      <c r="I30" s="38">
        <f>'2 m Bev'!O49</f>
        <v>0</v>
      </c>
      <c r="J30" s="38">
        <f>'2 m Bev'!P49</f>
        <v>0</v>
      </c>
      <c r="K30" s="38">
        <f>'2 m Bev'!Q49</f>
        <v>0</v>
      </c>
      <c r="L30" s="38"/>
      <c r="M30" s="14"/>
    </row>
    <row r="31" spans="1:19" s="15" customFormat="1" ht="14.1" customHeight="1">
      <c r="A31" s="26" t="s">
        <v>50</v>
      </c>
      <c r="B31" s="26"/>
      <c r="C31" s="38">
        <f>'3 m Kiad'!O53</f>
        <v>0</v>
      </c>
      <c r="D31" s="38">
        <f>'3 m Kiad'!P53</f>
        <v>0</v>
      </c>
      <c r="E31" s="38">
        <f>'3 m Kiad'!Q53</f>
        <v>0</v>
      </c>
      <c r="F31" s="38">
        <f>'3 m Kiad'!R53</f>
        <v>0</v>
      </c>
      <c r="G31" s="26" t="s">
        <v>51</v>
      </c>
      <c r="H31" s="26"/>
      <c r="I31" s="38">
        <f>'2 m Bev'!O64</f>
        <v>0</v>
      </c>
      <c r="J31" s="38">
        <f>'2 m Bev'!P64</f>
        <v>0</v>
      </c>
      <c r="K31" s="38">
        <f>'2 m Bev'!Q64</f>
        <v>0</v>
      </c>
      <c r="L31" s="38">
        <f>'2 m Bev'!R64</f>
        <v>0</v>
      </c>
      <c r="M31" s="14"/>
    </row>
    <row r="32" spans="1:19" s="15" customFormat="1" ht="14.1" customHeight="1">
      <c r="A32" s="45" t="s">
        <v>52</v>
      </c>
      <c r="B32" s="45"/>
      <c r="C32" s="46">
        <f>SUM(C30:C31)</f>
        <v>0</v>
      </c>
      <c r="D32" s="46">
        <f>SUM(D30:D31)</f>
        <v>0</v>
      </c>
      <c r="E32" s="46">
        <f>SUM(E30:E31)</f>
        <v>5890000000</v>
      </c>
      <c r="F32" s="46">
        <f>SUM(F30:F31)</f>
        <v>5890000000</v>
      </c>
      <c r="G32" s="45" t="s">
        <v>53</v>
      </c>
      <c r="H32" s="45"/>
      <c r="I32" s="46">
        <f>SUM(I30:I31)</f>
        <v>0</v>
      </c>
      <c r="J32" s="46">
        <f>SUM(J30:J31)</f>
        <v>0</v>
      </c>
      <c r="K32" s="46">
        <f>SUM(K30:K31)</f>
        <v>0</v>
      </c>
      <c r="L32" s="46">
        <f>SUM(L30:L31)</f>
        <v>0</v>
      </c>
      <c r="M32" s="14"/>
    </row>
    <row r="33" spans="1:13" s="15" customFormat="1" ht="18" customHeight="1">
      <c r="A33" s="17" t="s">
        <v>54</v>
      </c>
      <c r="B33" s="47">
        <f>SUM(B29+B32)</f>
        <v>8124909298</v>
      </c>
      <c r="C33" s="47">
        <f>SUM(C29+C32)</f>
        <v>8412469938</v>
      </c>
      <c r="D33" s="47">
        <f>SUM(D29+D32)</f>
        <v>-207988645</v>
      </c>
      <c r="E33" s="47">
        <f>SUM(E29+E32)</f>
        <v>14180936811</v>
      </c>
      <c r="F33" s="47">
        <f>SUM(F29+F32)</f>
        <v>13353846185</v>
      </c>
      <c r="G33" s="17" t="s">
        <v>55</v>
      </c>
      <c r="H33" s="48">
        <f>SUM(H29+H32)</f>
        <v>10544419298</v>
      </c>
      <c r="I33" s="48">
        <f>SUM(I29+I32)</f>
        <v>12348828543</v>
      </c>
      <c r="J33" s="48">
        <f>SUM(J29+J32)</f>
        <v>-209071979</v>
      </c>
      <c r="K33" s="48">
        <f>SUM(K29+K32)</f>
        <v>18452736189</v>
      </c>
      <c r="L33" s="48">
        <f>SUM(L29+L32)</f>
        <v>17625645551</v>
      </c>
      <c r="M33" s="14"/>
    </row>
    <row r="34" spans="1:13" s="15" customFormat="1" ht="15" customHeight="1">
      <c r="A34" s="29"/>
      <c r="B34" s="29"/>
      <c r="C34" s="30"/>
      <c r="D34" s="30"/>
      <c r="E34" s="30"/>
      <c r="F34" s="30"/>
      <c r="G34" s="29" t="s">
        <v>56</v>
      </c>
      <c r="H34" s="30">
        <f>H33-B33</f>
        <v>2419510000</v>
      </c>
      <c r="I34" s="30">
        <f>I33-C33</f>
        <v>3936358605</v>
      </c>
      <c r="J34" s="30">
        <f>J33-D33</f>
        <v>-1083334</v>
      </c>
      <c r="K34" s="30">
        <f>K33-E33</f>
        <v>4271799378</v>
      </c>
      <c r="L34" s="30">
        <f>L33-F33</f>
        <v>4271799366</v>
      </c>
      <c r="M34" s="14"/>
    </row>
    <row r="35" spans="1:13" s="15" customFormat="1" ht="15.75" customHeight="1">
      <c r="A35" s="49" t="s">
        <v>57</v>
      </c>
      <c r="B35" s="43">
        <f>'4 c Önk Korrekció'!Q55+'4 c Önk Korrekció'!Q56+'4 c Önk Korrekció'!Q57+'4 c Önk Korrekció'!Q58</f>
        <v>-8124909298</v>
      </c>
      <c r="C35" s="43">
        <f>'4 c Önk Korrekció'!R55+'4 c Önk Korrekció'!R56+'4 c Önk Korrekció'!R57+'4 c Önk Korrekció'!R58</f>
        <v>-8412469938</v>
      </c>
      <c r="D35" s="43">
        <f>'4 c Önk Korrekció'!S55+'4 c Önk Korrekció'!S56+'4 c Önk Korrekció'!S57+'4 c Önk Korrekció'!S58</f>
        <v>207988645</v>
      </c>
      <c r="E35" s="43">
        <f>'4 c Önk Korrekció'!T55+'4 c Önk Korrekció'!T56+'4 c Önk Korrekció'!T57+'4 c Önk Korrekció'!T58</f>
        <v>-8290936811</v>
      </c>
      <c r="F35" s="43">
        <f>'4 c Önk Korrekció'!U55+'4 c Önk Korrekció'!U56+'4 c Önk Korrekció'!U57+'4 c Önk Korrekció'!U58</f>
        <v>-7463846185</v>
      </c>
      <c r="G35" s="50" t="s">
        <v>57</v>
      </c>
      <c r="H35" s="43">
        <f>'4 c Önk Korrekció'!Q99+'4 c Önk Korrekció'!Q100+'4 c Önk Korrekció'!Q101+'4 c Önk Korrekció'!Q102</f>
        <v>-8124909298</v>
      </c>
      <c r="I35" s="48">
        <f>'4 c Önk Korrekció'!R99+'4 c Önk Korrekció'!R100+'4 c Önk Korrekció'!R101+'4 c Önk Korrekció'!R102</f>
        <v>-8412469938</v>
      </c>
      <c r="J35" s="48">
        <f>'4 c Önk Korrekció'!S99+'4 c Önk Korrekció'!S100+'4 c Önk Korrekció'!S101+'4 c Önk Korrekció'!S102</f>
        <v>207988645</v>
      </c>
      <c r="K35" s="43">
        <f>'4 c Önk Korrekció'!T99+'4 c Önk Korrekció'!T100+'4 c Önk Korrekció'!T101+'4 c Önk Korrekció'!T102</f>
        <v>-8290936811</v>
      </c>
      <c r="L35" s="43">
        <f>'4 c Önk Korrekció'!U99+'4 c Önk Korrekció'!U100+'4 c Önk Korrekció'!U101+'4 c Önk Korrekció'!U102</f>
        <v>-7463846185</v>
      </c>
      <c r="M35" s="14"/>
    </row>
    <row r="36" spans="1:13" s="15" customFormat="1" ht="14.25" customHeight="1">
      <c r="A36" s="29"/>
      <c r="B36" s="29"/>
      <c r="C36" s="30"/>
      <c r="D36" s="30"/>
      <c r="E36" s="30"/>
      <c r="F36" s="30"/>
      <c r="G36" s="29"/>
      <c r="H36" s="30"/>
      <c r="I36" s="30"/>
      <c r="J36" s="30"/>
      <c r="K36" s="30"/>
      <c r="L36" s="30"/>
      <c r="M36" s="14"/>
    </row>
    <row r="37" spans="1:13" s="15" customFormat="1" ht="15.75" customHeight="1">
      <c r="A37" s="29" t="s">
        <v>58</v>
      </c>
      <c r="B37" s="51">
        <f>SUM(B22+B33+B35)</f>
        <v>16349462285</v>
      </c>
      <c r="C37" s="51">
        <f>SUM(C22+C33+C35)</f>
        <v>18113039501</v>
      </c>
      <c r="D37" s="51">
        <f>SUM(D22+D33+D35)</f>
        <v>32528316</v>
      </c>
      <c r="E37" s="51">
        <f>SUM(E22+E33+E35)</f>
        <v>24950007909</v>
      </c>
      <c r="F37" s="51">
        <f>SUM(F22+F33+F35)</f>
        <v>20489783786</v>
      </c>
      <c r="G37" s="29" t="s">
        <v>59</v>
      </c>
      <c r="H37" s="51">
        <f>SUM(H22+H33+H35)</f>
        <v>16349462285</v>
      </c>
      <c r="I37" s="51">
        <f>SUM(I22+I33+I35)</f>
        <v>18113039501</v>
      </c>
      <c r="J37" s="51">
        <f>SUM(J22+J33+J35)</f>
        <v>32528316</v>
      </c>
      <c r="K37" s="51">
        <f>SUM(K22+K33+K35)</f>
        <v>24950007909</v>
      </c>
      <c r="L37" s="51">
        <f>SUM(L22+L33+L35)</f>
        <v>24828821824</v>
      </c>
      <c r="M37" s="14"/>
    </row>
    <row r="38" spans="1:13" hidden="1">
      <c r="A38" s="52"/>
      <c r="B38" s="52"/>
    </row>
    <row r="39" spans="1:13" hidden="1">
      <c r="A39" s="53"/>
      <c r="B39" s="53"/>
      <c r="C39" s="2"/>
      <c r="G39" s="54"/>
      <c r="H39" s="54"/>
      <c r="I39" s="2"/>
    </row>
    <row r="40" spans="1:13" ht="14.25" hidden="1">
      <c r="A40" s="55"/>
      <c r="B40" s="56"/>
      <c r="C40" s="57"/>
      <c r="D40" s="58"/>
      <c r="E40" s="59"/>
      <c r="F40" s="60"/>
      <c r="G40" s="61" t="s">
        <v>60</v>
      </c>
      <c r="H40" s="61"/>
      <c r="I40" s="62"/>
      <c r="J40" s="63"/>
      <c r="K40" s="64"/>
      <c r="L40" s="65"/>
    </row>
    <row r="41" spans="1:13" hidden="1">
      <c r="A41" s="66" t="s">
        <v>61</v>
      </c>
      <c r="B41" s="67"/>
      <c r="C41" s="68">
        <v>0</v>
      </c>
      <c r="D41" s="69"/>
      <c r="E41" s="70">
        <f>SUM(C41:D41)</f>
        <v>0</v>
      </c>
      <c r="F41" s="71"/>
      <c r="G41" s="72" t="s">
        <v>62</v>
      </c>
      <c r="H41" s="73">
        <v>223816</v>
      </c>
      <c r="I41" s="74">
        <v>185780</v>
      </c>
      <c r="J41" s="69"/>
      <c r="K41" s="75">
        <f>SUM(I41:J41)</f>
        <v>185780</v>
      </c>
      <c r="L41" s="76">
        <f>I41-H41</f>
        <v>-38036</v>
      </c>
    </row>
    <row r="42" spans="1:13" hidden="1">
      <c r="A42" s="66" t="s">
        <v>63</v>
      </c>
      <c r="B42" s="67"/>
      <c r="C42" s="68">
        <v>0</v>
      </c>
      <c r="D42" s="69"/>
      <c r="E42" s="70">
        <f>SUM(C42:D42)</f>
        <v>0</v>
      </c>
      <c r="F42" s="71"/>
      <c r="G42" s="72" t="s">
        <v>64</v>
      </c>
      <c r="H42" s="73">
        <v>1988903</v>
      </c>
      <c r="I42" s="74">
        <v>667841</v>
      </c>
      <c r="J42" s="69"/>
      <c r="K42" s="75">
        <f>SUM(I42:J42)</f>
        <v>667841</v>
      </c>
      <c r="L42" s="76">
        <f>I42-H42</f>
        <v>-1321062</v>
      </c>
    </row>
    <row r="43" spans="1:13" hidden="1">
      <c r="A43" s="77"/>
      <c r="B43" s="78"/>
      <c r="C43" s="79"/>
      <c r="D43" s="80"/>
      <c r="E43" s="81"/>
      <c r="F43" s="71"/>
      <c r="G43" s="82" t="s">
        <v>65</v>
      </c>
      <c r="H43" s="82"/>
      <c r="I43" s="74"/>
      <c r="J43" s="69"/>
      <c r="K43" s="75">
        <f>SUM(I43:J43)</f>
        <v>0</v>
      </c>
      <c r="L43" s="76"/>
    </row>
    <row r="44" spans="1:13" hidden="1">
      <c r="A44" s="83"/>
      <c r="B44" s="67"/>
      <c r="C44" s="84"/>
      <c r="D44" s="84"/>
      <c r="E44" s="70"/>
      <c r="F44" s="71"/>
      <c r="G44" s="83" t="s">
        <v>66</v>
      </c>
      <c r="H44" s="83"/>
      <c r="I44" s="74">
        <v>0</v>
      </c>
      <c r="J44" s="69"/>
      <c r="K44" s="75">
        <f>SUM(I44:J44)</f>
        <v>0</v>
      </c>
      <c r="L44" s="76"/>
    </row>
    <row r="45" spans="1:13" hidden="1">
      <c r="A45" s="85"/>
      <c r="B45" s="86"/>
      <c r="C45" s="87"/>
      <c r="D45" s="87"/>
      <c r="E45" s="88"/>
      <c r="F45" s="89"/>
      <c r="G45" s="85" t="s">
        <v>67</v>
      </c>
      <c r="H45" s="85"/>
      <c r="I45" s="90">
        <v>0</v>
      </c>
      <c r="J45" s="91">
        <v>0</v>
      </c>
      <c r="K45" s="92">
        <f>SUM(I45:J45)</f>
        <v>0</v>
      </c>
      <c r="L45" s="93"/>
    </row>
    <row r="46" spans="1:13" hidden="1">
      <c r="A46" s="94"/>
      <c r="B46" s="94"/>
      <c r="C46" s="95"/>
      <c r="D46" s="95"/>
      <c r="E46" s="95"/>
      <c r="F46" s="95"/>
      <c r="G46" s="95"/>
      <c r="H46" s="95"/>
      <c r="I46" s="96"/>
    </row>
    <row r="47" spans="1:13">
      <c r="I47" s="2"/>
    </row>
    <row r="48" spans="1:13">
      <c r="I48" s="2"/>
    </row>
    <row r="50" spans="9:9">
      <c r="I50" s="2"/>
    </row>
  </sheetData>
  <sheetProtection selectLockedCells="1" selectUnlockedCells="1"/>
  <mergeCells count="4">
    <mergeCell ref="A1:L1"/>
    <mergeCell ref="A4:K4"/>
    <mergeCell ref="A14:K14"/>
    <mergeCell ref="A23:K2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3" firstPageNumber="0" orientation="landscape" horizontalDpi="300" verticalDpi="300" r:id="rId1"/>
  <headerFooter alignWithMargins="0">
    <oddHeader>&amp;R&amp;8 &amp;"Times New Roman,Normál"1. m. a 2016. évi költségvetésről szóló 5/2016. (II.29.) önkormányzati rendelet végrehajtásáról szóló 11/2017. (V.3.) önkormányzati rendelethez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V166"/>
  <sheetViews>
    <sheetView view="pageBreakPreview" topLeftCell="A2" zoomScaleNormal="100" zoomScaleSheetLayoutView="100" workbookViewId="0">
      <pane xSplit="2" ySplit="6" topLeftCell="CX8" activePane="bottomRight" state="frozen"/>
      <selection activeCell="A2" sqref="A2"/>
      <selection pane="topRight" activeCell="DG2" sqref="DG2"/>
      <selection pane="bottomLeft" activeCell="A8" sqref="A8"/>
      <selection pane="bottomRight" activeCell="DP30" sqref="DP30"/>
    </sheetView>
  </sheetViews>
  <sheetFormatPr defaultRowHeight="15"/>
  <cols>
    <col min="1" max="1" width="49.42578125" style="634" customWidth="1"/>
    <col min="2" max="2" width="14" style="634" customWidth="1"/>
    <col min="3" max="4" width="0" style="634" hidden="1" customWidth="1"/>
    <col min="5" max="7" width="14.28515625" style="634" customWidth="1"/>
    <col min="8" max="9" width="0" style="634" hidden="1" customWidth="1"/>
    <col min="10" max="12" width="14.28515625" style="634" customWidth="1"/>
    <col min="13" max="14" width="0" style="634" hidden="1" customWidth="1"/>
    <col min="15" max="17" width="14.28515625" style="634" customWidth="1"/>
    <col min="18" max="19" width="0" style="634" hidden="1" customWidth="1"/>
    <col min="20" max="22" width="14.28515625" style="634" customWidth="1"/>
    <col min="23" max="24" width="0" style="634" hidden="1" customWidth="1"/>
    <col min="25" max="26" width="14.28515625" style="634" customWidth="1"/>
    <col min="27" max="56" width="0" style="634" hidden="1" customWidth="1"/>
    <col min="57" max="57" width="14.28515625" style="634" customWidth="1"/>
    <col min="58" max="58" width="15.28515625" style="956" hidden="1" customWidth="1"/>
    <col min="59" max="59" width="14.28515625" style="956" hidden="1" customWidth="1"/>
    <col min="60" max="61" width="14.28515625" style="956" customWidth="1"/>
    <col min="62" max="66" width="0" style="634" hidden="1" customWidth="1"/>
    <col min="67" max="67" width="14.28515625" style="634" customWidth="1"/>
    <col min="68" max="69" width="0" style="634" hidden="1" customWidth="1"/>
    <col min="70" max="72" width="14.28515625" style="634" customWidth="1"/>
    <col min="73" max="74" width="0" style="634" hidden="1" customWidth="1"/>
    <col min="75" max="76" width="14.28515625" style="634" customWidth="1"/>
    <col min="77" max="101" width="0" style="634" hidden="1" customWidth="1"/>
    <col min="102" max="102" width="14.28515625" style="634" customWidth="1"/>
    <col min="103" max="104" width="0" style="634" hidden="1" customWidth="1"/>
    <col min="105" max="106" width="14.28515625" style="634" customWidth="1"/>
    <col min="107" max="107" width="14.28515625" style="956" customWidth="1"/>
    <col min="108" max="109" width="0" style="956" hidden="1" customWidth="1"/>
    <col min="110" max="112" width="14.28515625" style="956" customWidth="1"/>
    <col min="113" max="114" width="0" style="634" hidden="1" customWidth="1"/>
    <col min="115" max="116" width="14.28515625" style="634" customWidth="1"/>
    <col min="117" max="117" width="14.28515625" style="956" customWidth="1"/>
    <col min="118" max="119" width="0" style="956" hidden="1" customWidth="1"/>
    <col min="120" max="120" width="14.28515625" style="956" customWidth="1"/>
    <col min="121" max="121" width="15" style="956" customWidth="1"/>
    <col min="122" max="122" width="11.140625" style="632" customWidth="1"/>
    <col min="123" max="123" width="10.42578125" style="632" customWidth="1"/>
    <col min="124" max="16384" width="9.140625" style="634"/>
  </cols>
  <sheetData>
    <row r="1" spans="1:123" ht="12" hidden="1" customHeight="1">
      <c r="A1" s="833" t="s">
        <v>653</v>
      </c>
      <c r="B1" s="834"/>
      <c r="C1" s="1650"/>
      <c r="D1" s="1651">
        <v>1</v>
      </c>
      <c r="E1" s="1120"/>
      <c r="F1" s="1122"/>
      <c r="G1" s="1122"/>
      <c r="H1" s="1650"/>
      <c r="I1" s="1651" t="s">
        <v>835</v>
      </c>
      <c r="J1" s="1120"/>
      <c r="K1" s="1122"/>
      <c r="L1" s="1122"/>
      <c r="M1" s="1652"/>
      <c r="N1" s="1122">
        <v>3</v>
      </c>
      <c r="O1" s="1121"/>
      <c r="P1" s="1124"/>
      <c r="Q1" s="1124"/>
      <c r="R1" s="1652"/>
      <c r="S1" s="1122">
        <v>4</v>
      </c>
      <c r="T1" s="1120"/>
      <c r="U1" s="1122"/>
      <c r="V1" s="1122"/>
      <c r="W1" s="1122"/>
      <c r="X1" s="1122">
        <v>5</v>
      </c>
      <c r="Y1" s="1122"/>
      <c r="Z1" s="1122"/>
      <c r="AA1" s="1122"/>
      <c r="AB1" s="1652"/>
      <c r="AC1" s="1122">
        <v>6</v>
      </c>
      <c r="AD1" s="1120"/>
      <c r="AE1" s="1122"/>
      <c r="AF1" s="1122"/>
      <c r="AG1" s="1652"/>
      <c r="AH1" s="1122">
        <v>7</v>
      </c>
      <c r="AI1" s="1120"/>
      <c r="AJ1" s="1122"/>
      <c r="AK1" s="1122"/>
      <c r="AL1" s="1652"/>
      <c r="AM1" s="1122">
        <v>8</v>
      </c>
      <c r="AN1" s="1120"/>
      <c r="AO1" s="1122"/>
      <c r="AP1" s="1122"/>
      <c r="AQ1" s="1122"/>
      <c r="AR1" s="1122">
        <v>9</v>
      </c>
      <c r="AS1" s="1122"/>
      <c r="AT1" s="1122"/>
      <c r="AU1" s="1122"/>
      <c r="AV1" s="1652"/>
      <c r="AW1" s="1122">
        <v>10</v>
      </c>
      <c r="AX1" s="1120"/>
      <c r="AY1" s="1122"/>
      <c r="AZ1" s="1122"/>
      <c r="BA1" s="1122"/>
      <c r="BB1" s="1122">
        <v>11</v>
      </c>
      <c r="BC1" s="1122"/>
      <c r="BD1" s="1122"/>
      <c r="BE1" s="1122"/>
      <c r="BF1" s="1653"/>
      <c r="BG1" s="1654">
        <v>12</v>
      </c>
      <c r="BH1" s="1123"/>
      <c r="BI1" s="1654"/>
      <c r="BJ1" s="1122"/>
      <c r="BK1" s="1652"/>
      <c r="BL1" s="1122">
        <v>13</v>
      </c>
      <c r="BM1" s="1121"/>
      <c r="BN1" s="1124"/>
      <c r="BO1" s="1124"/>
      <c r="BP1" s="1652"/>
      <c r="BQ1" s="1122">
        <v>14</v>
      </c>
      <c r="BR1" s="1121"/>
      <c r="BS1" s="1124"/>
      <c r="BT1" s="1124"/>
      <c r="BU1" s="1652"/>
      <c r="BV1" s="1122">
        <v>15</v>
      </c>
      <c r="BW1" s="1121"/>
      <c r="BX1" s="1124"/>
      <c r="BY1" s="1124"/>
      <c r="BZ1" s="1652"/>
      <c r="CA1" s="1122">
        <v>16</v>
      </c>
      <c r="CB1" s="1120"/>
      <c r="CC1" s="1122"/>
      <c r="CD1" s="1124"/>
      <c r="CE1" s="1652"/>
      <c r="CF1" s="1122">
        <v>17</v>
      </c>
      <c r="CG1" s="1120"/>
      <c r="CH1" s="1122"/>
      <c r="CI1" s="1124"/>
      <c r="CJ1" s="1652"/>
      <c r="CK1" s="1122">
        <v>18</v>
      </c>
      <c r="CL1" s="1120"/>
      <c r="CM1" s="1122"/>
      <c r="CN1" s="1124"/>
      <c r="CO1" s="1652"/>
      <c r="CP1" s="1122">
        <v>19</v>
      </c>
      <c r="CQ1" s="1120"/>
      <c r="CR1" s="1122"/>
      <c r="CS1" s="1124"/>
      <c r="CT1" s="1652"/>
      <c r="CU1" s="1122">
        <v>20</v>
      </c>
      <c r="CV1" s="1120"/>
      <c r="CW1" s="1122"/>
      <c r="CX1" s="1122"/>
      <c r="CY1" s="1122"/>
      <c r="CZ1" s="1122"/>
      <c r="DA1" s="1122"/>
      <c r="DB1" s="1122"/>
      <c r="DC1" s="1654"/>
      <c r="DD1" s="1653"/>
      <c r="DE1" s="1654">
        <v>21</v>
      </c>
      <c r="DF1" s="1123"/>
      <c r="DG1" s="1654"/>
      <c r="DH1" s="1654"/>
      <c r="DI1" s="1124"/>
      <c r="DJ1" s="1122">
        <v>19</v>
      </c>
      <c r="DK1" s="1124"/>
      <c r="DL1" s="1124"/>
      <c r="DM1" s="1125"/>
      <c r="DN1" s="1125"/>
      <c r="DO1" s="1655">
        <v>23</v>
      </c>
      <c r="DP1" s="1125"/>
    </row>
    <row r="2" spans="1:123" ht="30" customHeight="1">
      <c r="A2" s="833" t="s">
        <v>654</v>
      </c>
      <c r="B2" s="1724" t="s">
        <v>836</v>
      </c>
      <c r="C2" s="1724"/>
      <c r="D2" s="1724"/>
      <c r="E2" s="1724"/>
      <c r="F2" s="1724"/>
      <c r="G2" s="1724" t="s">
        <v>837</v>
      </c>
      <c r="H2" s="1724"/>
      <c r="I2" s="1724"/>
      <c r="J2" s="1724"/>
      <c r="K2" s="1724"/>
      <c r="L2" s="1724" t="s">
        <v>838</v>
      </c>
      <c r="M2" s="1724"/>
      <c r="N2" s="1724"/>
      <c r="O2" s="1724"/>
      <c r="P2" s="1724"/>
      <c r="Q2" s="1724" t="s">
        <v>839</v>
      </c>
      <c r="R2" s="1724"/>
      <c r="S2" s="1724"/>
      <c r="T2" s="1724"/>
      <c r="U2" s="1724"/>
      <c r="V2" s="1724" t="s">
        <v>840</v>
      </c>
      <c r="W2" s="1724"/>
      <c r="X2" s="1724"/>
      <c r="Y2" s="1724"/>
      <c r="Z2" s="1724"/>
      <c r="AA2" s="834" t="s">
        <v>841</v>
      </c>
      <c r="AB2" s="1724" t="s">
        <v>841</v>
      </c>
      <c r="AC2" s="1724"/>
      <c r="AD2" s="1724"/>
      <c r="AE2" s="1649"/>
      <c r="AF2" s="833"/>
      <c r="AG2" s="1724"/>
      <c r="AH2" s="1724"/>
      <c r="AI2" s="1724"/>
      <c r="AJ2" s="1126"/>
      <c r="AK2" s="833"/>
      <c r="AL2" s="1724"/>
      <c r="AM2" s="1724"/>
      <c r="AN2" s="1724"/>
      <c r="AO2" s="1126"/>
      <c r="AP2" s="833"/>
      <c r="AQ2" s="1724"/>
      <c r="AR2" s="1724"/>
      <c r="AS2" s="1724"/>
      <c r="AT2" s="1126"/>
      <c r="AU2" s="1746"/>
      <c r="AV2" s="1746"/>
      <c r="AW2" s="1746"/>
      <c r="AX2" s="1746"/>
      <c r="AY2" s="1746"/>
      <c r="AZ2" s="833"/>
      <c r="BA2" s="1724"/>
      <c r="BB2" s="1724"/>
      <c r="BC2" s="1724"/>
      <c r="BD2" s="833"/>
      <c r="BE2" s="1725" t="s">
        <v>842</v>
      </c>
      <c r="BF2" s="1725"/>
      <c r="BG2" s="1725"/>
      <c r="BH2" s="1725"/>
      <c r="BI2" s="1725"/>
      <c r="BJ2" s="1724" t="s">
        <v>843</v>
      </c>
      <c r="BK2" s="1724"/>
      <c r="BL2" s="1724"/>
      <c r="BM2" s="1724"/>
      <c r="BN2" s="1724"/>
      <c r="BO2" s="1724" t="s">
        <v>844</v>
      </c>
      <c r="BP2" s="1724"/>
      <c r="BQ2" s="1724"/>
      <c r="BR2" s="1724"/>
      <c r="BS2" s="1724"/>
      <c r="BT2" s="1724" t="s">
        <v>845</v>
      </c>
      <c r="BU2" s="1724"/>
      <c r="BV2" s="1724"/>
      <c r="BW2" s="1724"/>
      <c r="BX2" s="1724"/>
      <c r="BY2" s="1724" t="s">
        <v>846</v>
      </c>
      <c r="BZ2" s="1724"/>
      <c r="CA2" s="1724"/>
      <c r="CB2" s="1724"/>
      <c r="CC2" s="1724"/>
      <c r="CD2" s="1126"/>
      <c r="CE2" s="1724" t="s">
        <v>847</v>
      </c>
      <c r="CF2" s="1724"/>
      <c r="CG2" s="1724"/>
      <c r="CH2" s="1126"/>
      <c r="CI2" s="1724" t="s">
        <v>848</v>
      </c>
      <c r="CJ2" s="1724"/>
      <c r="CK2" s="1724"/>
      <c r="CL2" s="1724"/>
      <c r="CM2" s="1724"/>
      <c r="CN2" s="1126"/>
      <c r="CO2" s="1724" t="s">
        <v>849</v>
      </c>
      <c r="CP2" s="1724"/>
      <c r="CQ2" s="1724"/>
      <c r="CR2" s="1126"/>
      <c r="CS2" s="1126"/>
      <c r="CT2" s="1746"/>
      <c r="CU2" s="1746"/>
      <c r="CV2" s="1746"/>
      <c r="CW2" s="1126"/>
      <c r="CX2" s="1747" t="s">
        <v>850</v>
      </c>
      <c r="CY2" s="1748"/>
      <c r="CZ2" s="1748"/>
      <c r="DA2" s="1748"/>
      <c r="DB2" s="1749"/>
      <c r="DC2" s="1725" t="s">
        <v>851</v>
      </c>
      <c r="DD2" s="1725"/>
      <c r="DE2" s="1725"/>
      <c r="DF2" s="1725"/>
      <c r="DG2" s="1725"/>
      <c r="DH2" s="1746" t="s">
        <v>803</v>
      </c>
      <c r="DI2" s="1746"/>
      <c r="DJ2" s="1746"/>
      <c r="DK2" s="1746"/>
      <c r="DL2" s="1746"/>
      <c r="DM2" s="1725" t="s">
        <v>852</v>
      </c>
      <c r="DN2" s="1725"/>
      <c r="DO2" s="1725"/>
      <c r="DP2" s="1725"/>
      <c r="DQ2" s="1725"/>
    </row>
    <row r="3" spans="1:123" s="1133" customFormat="1" ht="15" customHeight="1">
      <c r="A3" s="957" t="s">
        <v>811</v>
      </c>
      <c r="B3" s="1656"/>
      <c r="C3" s="1750" t="s">
        <v>853</v>
      </c>
      <c r="D3" s="1750"/>
      <c r="E3" s="1750"/>
      <c r="F3" s="1127"/>
      <c r="G3" s="1127"/>
      <c r="H3" s="1750" t="s">
        <v>854</v>
      </c>
      <c r="I3" s="1750"/>
      <c r="J3" s="1750"/>
      <c r="K3" s="1127"/>
      <c r="L3" s="1127"/>
      <c r="M3" s="1750" t="s">
        <v>855</v>
      </c>
      <c r="N3" s="1750"/>
      <c r="O3" s="1750"/>
      <c r="P3" s="1127"/>
      <c r="Q3" s="1127"/>
      <c r="R3" s="1750" t="s">
        <v>856</v>
      </c>
      <c r="S3" s="1750"/>
      <c r="T3" s="1750"/>
      <c r="U3" s="1127"/>
      <c r="V3" s="1127"/>
      <c r="W3" s="1750" t="s">
        <v>857</v>
      </c>
      <c r="X3" s="1750"/>
      <c r="Y3" s="1750"/>
      <c r="Z3" s="1127"/>
      <c r="AA3" s="1127"/>
      <c r="AB3" s="1750" t="s">
        <v>858</v>
      </c>
      <c r="AC3" s="1750"/>
      <c r="AD3" s="1750"/>
      <c r="AE3" s="1127"/>
      <c r="AF3" s="1127"/>
      <c r="AG3" s="1750"/>
      <c r="AH3" s="1750"/>
      <c r="AI3" s="1750"/>
      <c r="AJ3" s="1127"/>
      <c r="AK3" s="1127"/>
      <c r="AL3" s="1750"/>
      <c r="AM3" s="1750"/>
      <c r="AN3" s="1750"/>
      <c r="AO3" s="1127"/>
      <c r="AP3" s="1127"/>
      <c r="AQ3" s="1750"/>
      <c r="AR3" s="1750"/>
      <c r="AS3" s="1750"/>
      <c r="AT3" s="1127"/>
      <c r="AU3" s="1127"/>
      <c r="AV3" s="1750"/>
      <c r="AW3" s="1750"/>
      <c r="AX3" s="1750"/>
      <c r="AY3" s="1127"/>
      <c r="AZ3" s="1127"/>
      <c r="BA3" s="1750"/>
      <c r="BB3" s="1750"/>
      <c r="BC3" s="1750"/>
      <c r="BD3" s="1127"/>
      <c r="BE3" s="1127"/>
      <c r="BF3" s="1751" t="s">
        <v>859</v>
      </c>
      <c r="BG3" s="1751"/>
      <c r="BH3" s="1751"/>
      <c r="BI3" s="1128"/>
      <c r="BJ3" s="1129"/>
      <c r="BK3" s="1750" t="s">
        <v>860</v>
      </c>
      <c r="BL3" s="1750"/>
      <c r="BM3" s="1750"/>
      <c r="BN3" s="1127"/>
      <c r="BO3" s="1127"/>
      <c r="BP3" s="1750" t="s">
        <v>861</v>
      </c>
      <c r="BQ3" s="1750"/>
      <c r="BR3" s="1750"/>
      <c r="BS3" s="1127"/>
      <c r="BT3" s="1127"/>
      <c r="BU3" s="1750" t="s">
        <v>862</v>
      </c>
      <c r="BV3" s="1750"/>
      <c r="BW3" s="1750"/>
      <c r="BX3" s="1127"/>
      <c r="BY3" s="1127"/>
      <c r="BZ3" s="1750" t="s">
        <v>863</v>
      </c>
      <c r="CA3" s="1750"/>
      <c r="CB3" s="1750"/>
      <c r="CC3" s="1127"/>
      <c r="CD3" s="1127"/>
      <c r="CE3" s="1750" t="s">
        <v>864</v>
      </c>
      <c r="CF3" s="1750"/>
      <c r="CG3" s="1750"/>
      <c r="CH3" s="1127"/>
      <c r="CI3" s="1127"/>
      <c r="CJ3" s="1750" t="s">
        <v>865</v>
      </c>
      <c r="CK3" s="1750"/>
      <c r="CL3" s="1750"/>
      <c r="CM3" s="1127"/>
      <c r="CN3" s="1127"/>
      <c r="CO3" s="1750" t="s">
        <v>866</v>
      </c>
      <c r="CP3" s="1750"/>
      <c r="CQ3" s="1750"/>
      <c r="CR3" s="1127"/>
      <c r="CS3" s="1127"/>
      <c r="CT3" s="1750"/>
      <c r="CU3" s="1750"/>
      <c r="CV3" s="1750"/>
      <c r="CW3" s="1127"/>
      <c r="CX3" s="1127"/>
      <c r="CY3" s="1127"/>
      <c r="CZ3" s="1127"/>
      <c r="DA3" s="1127">
        <v>1658</v>
      </c>
      <c r="DB3" s="1127"/>
      <c r="DC3" s="1130"/>
      <c r="DD3" s="1751" t="s">
        <v>867</v>
      </c>
      <c r="DE3" s="1751"/>
      <c r="DF3" s="1751"/>
      <c r="DG3" s="1130"/>
      <c r="DH3" s="1130"/>
      <c r="DI3" s="1750" t="s">
        <v>814</v>
      </c>
      <c r="DJ3" s="1750"/>
      <c r="DK3" s="1750"/>
      <c r="DL3" s="1127"/>
      <c r="DM3" s="1130"/>
      <c r="DN3" s="1751" t="s">
        <v>868</v>
      </c>
      <c r="DO3" s="1751"/>
      <c r="DP3" s="1751"/>
      <c r="DQ3" s="1131"/>
      <c r="DR3" s="1132"/>
      <c r="DS3" s="1132"/>
    </row>
    <row r="4" spans="1:123" ht="16.5" hidden="1" customHeight="1">
      <c r="A4" s="1134" t="s">
        <v>662</v>
      </c>
      <c r="B4" s="1135"/>
      <c r="C4" s="1752"/>
      <c r="D4" s="1752"/>
      <c r="E4" s="1752"/>
      <c r="F4" s="1136"/>
      <c r="G4" s="1136"/>
      <c r="H4" s="1752"/>
      <c r="I4" s="1752"/>
      <c r="J4" s="1752"/>
      <c r="K4" s="1136"/>
      <c r="L4" s="1136"/>
      <c r="M4" s="1752"/>
      <c r="N4" s="1752"/>
      <c r="O4" s="1752"/>
      <c r="P4" s="1136"/>
      <c r="Q4" s="1136"/>
      <c r="R4" s="1752"/>
      <c r="S4" s="1752"/>
      <c r="T4" s="1752"/>
      <c r="U4" s="1136"/>
      <c r="V4" s="1136"/>
      <c r="W4" s="1752"/>
      <c r="X4" s="1752"/>
      <c r="Y4" s="1752"/>
      <c r="Z4" s="1136"/>
      <c r="AA4" s="1136"/>
      <c r="AB4" s="1752"/>
      <c r="AC4" s="1752"/>
      <c r="AD4" s="1752"/>
      <c r="AE4" s="1136"/>
      <c r="AF4" s="1136"/>
      <c r="AG4" s="1752"/>
      <c r="AH4" s="1752"/>
      <c r="AI4" s="1752"/>
      <c r="AJ4" s="1136"/>
      <c r="AK4" s="1136"/>
      <c r="AL4" s="1752"/>
      <c r="AM4" s="1752"/>
      <c r="AN4" s="1752"/>
      <c r="AO4" s="1136"/>
      <c r="AP4" s="1136"/>
      <c r="AQ4" s="1752"/>
      <c r="AR4" s="1752"/>
      <c r="AS4" s="1752"/>
      <c r="AT4" s="1136"/>
      <c r="AU4" s="1136"/>
      <c r="AV4" s="1752"/>
      <c r="AW4" s="1752"/>
      <c r="AX4" s="1752"/>
      <c r="AY4" s="1136"/>
      <c r="AZ4" s="1136"/>
      <c r="BA4" s="1752"/>
      <c r="BB4" s="1752"/>
      <c r="BC4" s="1752"/>
      <c r="BD4" s="1136"/>
      <c r="BE4" s="1136"/>
      <c r="BF4" s="1753"/>
      <c r="BG4" s="1753"/>
      <c r="BH4" s="1753"/>
      <c r="BI4" s="1657"/>
      <c r="BJ4" s="1136"/>
      <c r="BK4" s="1752"/>
      <c r="BL4" s="1752"/>
      <c r="BM4" s="1752"/>
      <c r="BN4" s="1136"/>
      <c r="BO4" s="1136"/>
      <c r="BP4" s="1752"/>
      <c r="BQ4" s="1752"/>
      <c r="BR4" s="1752"/>
      <c r="BS4" s="1136"/>
      <c r="BT4" s="1136"/>
      <c r="BU4" s="1752"/>
      <c r="BV4" s="1752"/>
      <c r="BW4" s="1752"/>
      <c r="BX4" s="1136"/>
      <c r="BY4" s="1136"/>
      <c r="BZ4" s="1752"/>
      <c r="CA4" s="1752"/>
      <c r="CB4" s="1752"/>
      <c r="CC4" s="1136"/>
      <c r="CD4" s="1136"/>
      <c r="CE4" s="1752"/>
      <c r="CF4" s="1752"/>
      <c r="CG4" s="1752"/>
      <c r="CH4" s="1136"/>
      <c r="CI4" s="1136"/>
      <c r="CJ4" s="1752"/>
      <c r="CK4" s="1752"/>
      <c r="CL4" s="1752"/>
      <c r="CM4" s="1136"/>
      <c r="CN4" s="1136"/>
      <c r="CO4" s="1752"/>
      <c r="CP4" s="1752"/>
      <c r="CQ4" s="1752"/>
      <c r="CR4" s="1136"/>
      <c r="CS4" s="1136"/>
      <c r="CT4" s="1752"/>
      <c r="CU4" s="1752"/>
      <c r="CV4" s="1752"/>
      <c r="CW4" s="1136"/>
      <c r="CX4" s="1136"/>
      <c r="CY4" s="1136"/>
      <c r="CZ4" s="1136"/>
      <c r="DA4" s="1136"/>
      <c r="DB4" s="1136"/>
      <c r="DC4" s="1657"/>
      <c r="DD4" s="1753"/>
      <c r="DE4" s="1753"/>
      <c r="DF4" s="1753"/>
      <c r="DG4" s="1657"/>
      <c r="DH4" s="1657"/>
      <c r="DI4" s="1752"/>
      <c r="DJ4" s="1752"/>
      <c r="DK4" s="1752"/>
      <c r="DL4" s="1136"/>
      <c r="DM4" s="1657"/>
      <c r="DN4" s="1753"/>
      <c r="DO4" s="1753"/>
      <c r="DP4" s="1753"/>
    </row>
    <row r="5" spans="1:123" s="919" customFormat="1" ht="30" customHeight="1">
      <c r="A5" s="833" t="s">
        <v>665</v>
      </c>
      <c r="B5" s="853" t="s">
        <v>2</v>
      </c>
      <c r="C5" s="853" t="s">
        <v>139</v>
      </c>
      <c r="D5" s="833" t="s">
        <v>4</v>
      </c>
      <c r="E5" s="853" t="s">
        <v>5</v>
      </c>
      <c r="F5" s="833" t="s">
        <v>140</v>
      </c>
      <c r="G5" s="853" t="s">
        <v>2</v>
      </c>
      <c r="H5" s="853" t="s">
        <v>139</v>
      </c>
      <c r="I5" s="833" t="s">
        <v>4</v>
      </c>
      <c r="J5" s="853" t="s">
        <v>5</v>
      </c>
      <c r="K5" s="833" t="s">
        <v>140</v>
      </c>
      <c r="L5" s="853" t="s">
        <v>2</v>
      </c>
      <c r="M5" s="853" t="s">
        <v>139</v>
      </c>
      <c r="N5" s="833" t="s">
        <v>4</v>
      </c>
      <c r="O5" s="853" t="s">
        <v>5</v>
      </c>
      <c r="P5" s="833" t="s">
        <v>140</v>
      </c>
      <c r="Q5" s="853" t="s">
        <v>2</v>
      </c>
      <c r="R5" s="853" t="s">
        <v>139</v>
      </c>
      <c r="S5" s="833" t="s">
        <v>4</v>
      </c>
      <c r="T5" s="853" t="s">
        <v>5</v>
      </c>
      <c r="U5" s="833" t="s">
        <v>140</v>
      </c>
      <c r="V5" s="853" t="s">
        <v>2</v>
      </c>
      <c r="W5" s="853" t="s">
        <v>139</v>
      </c>
      <c r="X5" s="833" t="s">
        <v>4</v>
      </c>
      <c r="Y5" s="853" t="s">
        <v>5</v>
      </c>
      <c r="Z5" s="833" t="s">
        <v>140</v>
      </c>
      <c r="AA5" s="853" t="s">
        <v>2</v>
      </c>
      <c r="AB5" s="853" t="s">
        <v>139</v>
      </c>
      <c r="AC5" s="833" t="s">
        <v>4</v>
      </c>
      <c r="AD5" s="853" t="s">
        <v>5</v>
      </c>
      <c r="AE5" s="833" t="s">
        <v>140</v>
      </c>
      <c r="AF5" s="853" t="s">
        <v>2</v>
      </c>
      <c r="AG5" s="853" t="s">
        <v>139</v>
      </c>
      <c r="AH5" s="833" t="s">
        <v>4</v>
      </c>
      <c r="AI5" s="853" t="s">
        <v>5</v>
      </c>
      <c r="AJ5" s="833" t="s">
        <v>140</v>
      </c>
      <c r="AK5" s="853" t="s">
        <v>2</v>
      </c>
      <c r="AL5" s="853" t="s">
        <v>139</v>
      </c>
      <c r="AM5" s="833" t="s">
        <v>4</v>
      </c>
      <c r="AN5" s="853" t="s">
        <v>5</v>
      </c>
      <c r="AO5" s="833" t="s">
        <v>140</v>
      </c>
      <c r="AP5" s="853" t="s">
        <v>2</v>
      </c>
      <c r="AQ5" s="853" t="s">
        <v>139</v>
      </c>
      <c r="AR5" s="833" t="s">
        <v>4</v>
      </c>
      <c r="AS5" s="853" t="s">
        <v>5</v>
      </c>
      <c r="AT5" s="833" t="s">
        <v>140</v>
      </c>
      <c r="AU5" s="853" t="s">
        <v>2</v>
      </c>
      <c r="AV5" s="853" t="s">
        <v>139</v>
      </c>
      <c r="AW5" s="833" t="s">
        <v>4</v>
      </c>
      <c r="AX5" s="853" t="s">
        <v>5</v>
      </c>
      <c r="AY5" s="833" t="s">
        <v>140</v>
      </c>
      <c r="AZ5" s="853" t="s">
        <v>2</v>
      </c>
      <c r="BA5" s="853" t="s">
        <v>139</v>
      </c>
      <c r="BB5" s="833" t="s">
        <v>4</v>
      </c>
      <c r="BC5" s="853" t="s">
        <v>5</v>
      </c>
      <c r="BD5" s="833" t="s">
        <v>140</v>
      </c>
      <c r="BE5" s="853" t="s">
        <v>2</v>
      </c>
      <c r="BF5" s="853" t="s">
        <v>139</v>
      </c>
      <c r="BG5" s="833" t="s">
        <v>4</v>
      </c>
      <c r="BH5" s="853" t="s">
        <v>5</v>
      </c>
      <c r="BI5" s="833" t="s">
        <v>140</v>
      </c>
      <c r="BJ5" s="853" t="s">
        <v>2</v>
      </c>
      <c r="BK5" s="853" t="s">
        <v>139</v>
      </c>
      <c r="BL5" s="833" t="s">
        <v>4</v>
      </c>
      <c r="BM5" s="853" t="s">
        <v>5</v>
      </c>
      <c r="BN5" s="833" t="s">
        <v>140</v>
      </c>
      <c r="BO5" s="853" t="s">
        <v>2</v>
      </c>
      <c r="BP5" s="853" t="s">
        <v>139</v>
      </c>
      <c r="BQ5" s="833" t="s">
        <v>4</v>
      </c>
      <c r="BR5" s="853" t="s">
        <v>5</v>
      </c>
      <c r="BS5" s="833" t="s">
        <v>140</v>
      </c>
      <c r="BT5" s="853" t="s">
        <v>2</v>
      </c>
      <c r="BU5" s="853" t="s">
        <v>139</v>
      </c>
      <c r="BV5" s="833" t="s">
        <v>4</v>
      </c>
      <c r="BW5" s="853" t="s">
        <v>5</v>
      </c>
      <c r="BX5" s="833" t="s">
        <v>140</v>
      </c>
      <c r="BY5" s="853" t="s">
        <v>2</v>
      </c>
      <c r="BZ5" s="853" t="s">
        <v>139</v>
      </c>
      <c r="CA5" s="833" t="s">
        <v>4</v>
      </c>
      <c r="CB5" s="853" t="s">
        <v>5</v>
      </c>
      <c r="CC5" s="833" t="s">
        <v>140</v>
      </c>
      <c r="CD5" s="853" t="s">
        <v>2</v>
      </c>
      <c r="CE5" s="853" t="s">
        <v>139</v>
      </c>
      <c r="CF5" s="833" t="s">
        <v>4</v>
      </c>
      <c r="CG5" s="853" t="s">
        <v>5</v>
      </c>
      <c r="CH5" s="833" t="s">
        <v>140</v>
      </c>
      <c r="CI5" s="853" t="s">
        <v>2</v>
      </c>
      <c r="CJ5" s="853" t="s">
        <v>139</v>
      </c>
      <c r="CK5" s="833" t="s">
        <v>4</v>
      </c>
      <c r="CL5" s="853" t="s">
        <v>5</v>
      </c>
      <c r="CM5" s="833" t="s">
        <v>140</v>
      </c>
      <c r="CN5" s="853" t="s">
        <v>2</v>
      </c>
      <c r="CO5" s="853" t="s">
        <v>139</v>
      </c>
      <c r="CP5" s="833" t="s">
        <v>4</v>
      </c>
      <c r="CQ5" s="853" t="s">
        <v>5</v>
      </c>
      <c r="CR5" s="833" t="s">
        <v>140</v>
      </c>
      <c r="CS5" s="853" t="s">
        <v>2</v>
      </c>
      <c r="CT5" s="853" t="s">
        <v>139</v>
      </c>
      <c r="CU5" s="833" t="s">
        <v>4</v>
      </c>
      <c r="CV5" s="853" t="s">
        <v>5</v>
      </c>
      <c r="CW5" s="833" t="s">
        <v>140</v>
      </c>
      <c r="CX5" s="853" t="s">
        <v>2</v>
      </c>
      <c r="CY5" s="1645" t="s">
        <v>869</v>
      </c>
      <c r="CZ5" s="957" t="s">
        <v>4</v>
      </c>
      <c r="DA5" s="853" t="s">
        <v>5</v>
      </c>
      <c r="DB5" s="833" t="s">
        <v>140</v>
      </c>
      <c r="DC5" s="854" t="s">
        <v>2</v>
      </c>
      <c r="DD5" s="854" t="s">
        <v>139</v>
      </c>
      <c r="DE5" s="837" t="s">
        <v>4</v>
      </c>
      <c r="DF5" s="854" t="s">
        <v>5</v>
      </c>
      <c r="DG5" s="837" t="s">
        <v>140</v>
      </c>
      <c r="DH5" s="853" t="s">
        <v>2</v>
      </c>
      <c r="DI5" s="853" t="s">
        <v>139</v>
      </c>
      <c r="DJ5" s="833" t="s">
        <v>4</v>
      </c>
      <c r="DK5" s="853" t="s">
        <v>5</v>
      </c>
      <c r="DL5" s="833" t="s">
        <v>140</v>
      </c>
      <c r="DM5" s="854" t="s">
        <v>2</v>
      </c>
      <c r="DN5" s="854" t="s">
        <v>139</v>
      </c>
      <c r="DO5" s="837" t="s">
        <v>4</v>
      </c>
      <c r="DP5" s="854" t="s">
        <v>5</v>
      </c>
      <c r="DQ5" s="837" t="s">
        <v>140</v>
      </c>
      <c r="DR5" s="451"/>
      <c r="DS5" s="451"/>
    </row>
    <row r="6" spans="1:123" s="380" customFormat="1" ht="10.5" customHeight="1">
      <c r="A6" s="1126"/>
      <c r="B6" s="1126">
        <v>1</v>
      </c>
      <c r="C6" s="1126" t="s">
        <v>76</v>
      </c>
      <c r="D6" s="1126" t="s">
        <v>870</v>
      </c>
      <c r="E6" s="1126">
        <v>2</v>
      </c>
      <c r="F6" s="1126">
        <v>3</v>
      </c>
      <c r="G6" s="1126">
        <v>4</v>
      </c>
      <c r="H6" s="1126" t="s">
        <v>78</v>
      </c>
      <c r="I6" s="1126" t="s">
        <v>871</v>
      </c>
      <c r="J6" s="1126">
        <v>5</v>
      </c>
      <c r="K6" s="1126">
        <v>6</v>
      </c>
      <c r="L6" s="1126">
        <v>7</v>
      </c>
      <c r="M6" s="1126" t="s">
        <v>80</v>
      </c>
      <c r="N6" s="1126" t="s">
        <v>872</v>
      </c>
      <c r="O6" s="1126">
        <v>8</v>
      </c>
      <c r="P6" s="1126">
        <v>9</v>
      </c>
      <c r="Q6" s="1126">
        <v>10</v>
      </c>
      <c r="R6" s="1126" t="s">
        <v>795</v>
      </c>
      <c r="S6" s="1126" t="s">
        <v>873</v>
      </c>
      <c r="T6" s="1126">
        <v>11</v>
      </c>
      <c r="U6" s="1126">
        <v>12</v>
      </c>
      <c r="V6" s="1126">
        <v>13</v>
      </c>
      <c r="W6" s="1126" t="s">
        <v>667</v>
      </c>
      <c r="X6" s="1126" t="s">
        <v>874</v>
      </c>
      <c r="Y6" s="1126">
        <v>14</v>
      </c>
      <c r="Z6" s="1126">
        <v>15</v>
      </c>
      <c r="AA6" s="1126" t="s">
        <v>668</v>
      </c>
      <c r="AB6" s="1126" t="s">
        <v>669</v>
      </c>
      <c r="AC6" s="1126" t="s">
        <v>875</v>
      </c>
      <c r="AD6" s="1126" t="s">
        <v>876</v>
      </c>
      <c r="AE6" s="1126" t="s">
        <v>877</v>
      </c>
      <c r="AF6" s="1126" t="s">
        <v>670</v>
      </c>
      <c r="AG6" s="1126" t="s">
        <v>671</v>
      </c>
      <c r="AH6" s="1126" t="s">
        <v>878</v>
      </c>
      <c r="AI6" s="1126" t="s">
        <v>879</v>
      </c>
      <c r="AJ6" s="1126" t="s">
        <v>880</v>
      </c>
      <c r="AK6" s="1126" t="s">
        <v>672</v>
      </c>
      <c r="AL6" s="1126" t="s">
        <v>673</v>
      </c>
      <c r="AM6" s="1126" t="s">
        <v>881</v>
      </c>
      <c r="AN6" s="1126" t="s">
        <v>882</v>
      </c>
      <c r="AO6" s="1126" t="s">
        <v>822</v>
      </c>
      <c r="AP6" s="1126" t="s">
        <v>674</v>
      </c>
      <c r="AQ6" s="1126" t="s">
        <v>675</v>
      </c>
      <c r="AR6" s="1126" t="s">
        <v>823</v>
      </c>
      <c r="AS6" s="1126" t="s">
        <v>824</v>
      </c>
      <c r="AT6" s="1126" t="s">
        <v>824</v>
      </c>
      <c r="AU6" s="1126" t="s">
        <v>825</v>
      </c>
      <c r="AV6" s="1126" t="s">
        <v>676</v>
      </c>
      <c r="AW6" s="1126" t="s">
        <v>677</v>
      </c>
      <c r="AX6" s="1126" t="s">
        <v>826</v>
      </c>
      <c r="AY6" s="1126" t="s">
        <v>827</v>
      </c>
      <c r="AZ6" s="1126" t="s">
        <v>883</v>
      </c>
      <c r="BA6" s="1126" t="s">
        <v>678</v>
      </c>
      <c r="BB6" s="1126" t="s">
        <v>679</v>
      </c>
      <c r="BC6" s="1126" t="s">
        <v>884</v>
      </c>
      <c r="BD6" s="1126" t="s">
        <v>885</v>
      </c>
      <c r="BE6" s="1138">
        <v>16</v>
      </c>
      <c r="BF6" s="1138" t="s">
        <v>680</v>
      </c>
      <c r="BG6" s="1138" t="s">
        <v>681</v>
      </c>
      <c r="BH6" s="1138">
        <v>17</v>
      </c>
      <c r="BI6" s="1138">
        <v>18</v>
      </c>
      <c r="BJ6" s="1126" t="s">
        <v>886</v>
      </c>
      <c r="BK6" s="1126" t="s">
        <v>682</v>
      </c>
      <c r="BL6" s="1126" t="s">
        <v>683</v>
      </c>
      <c r="BM6" s="1126" t="s">
        <v>887</v>
      </c>
      <c r="BN6" s="1126" t="s">
        <v>888</v>
      </c>
      <c r="BO6" s="1126">
        <v>19</v>
      </c>
      <c r="BP6" s="1126" t="s">
        <v>684</v>
      </c>
      <c r="BQ6" s="1126" t="s">
        <v>685</v>
      </c>
      <c r="BR6" s="1126">
        <v>20</v>
      </c>
      <c r="BS6" s="1126">
        <v>21</v>
      </c>
      <c r="BT6" s="1126">
        <v>22</v>
      </c>
      <c r="BU6" s="1126" t="s">
        <v>686</v>
      </c>
      <c r="BV6" s="1126" t="s">
        <v>687</v>
      </c>
      <c r="BW6" s="1126">
        <v>23</v>
      </c>
      <c r="BX6" s="1126">
        <v>24</v>
      </c>
      <c r="BY6" s="1126" t="s">
        <v>889</v>
      </c>
      <c r="BZ6" s="1126" t="s">
        <v>688</v>
      </c>
      <c r="CA6" s="1126" t="s">
        <v>689</v>
      </c>
      <c r="CB6" s="1126" t="s">
        <v>890</v>
      </c>
      <c r="CC6" s="1126" t="s">
        <v>891</v>
      </c>
      <c r="CD6" s="1126" t="s">
        <v>889</v>
      </c>
      <c r="CE6" s="1126" t="s">
        <v>688</v>
      </c>
      <c r="CF6" s="1126" t="s">
        <v>689</v>
      </c>
      <c r="CG6" s="1126" t="s">
        <v>890</v>
      </c>
      <c r="CH6" s="1126" t="s">
        <v>891</v>
      </c>
      <c r="CI6" s="1126" t="s">
        <v>889</v>
      </c>
      <c r="CJ6" s="1126" t="s">
        <v>688</v>
      </c>
      <c r="CK6" s="1126" t="s">
        <v>689</v>
      </c>
      <c r="CL6" s="1126" t="s">
        <v>890</v>
      </c>
      <c r="CM6" s="1126" t="s">
        <v>891</v>
      </c>
      <c r="CN6" s="1126" t="s">
        <v>889</v>
      </c>
      <c r="CO6" s="1126" t="s">
        <v>688</v>
      </c>
      <c r="CP6" s="1126" t="s">
        <v>689</v>
      </c>
      <c r="CQ6" s="1126" t="s">
        <v>890</v>
      </c>
      <c r="CR6" s="1126" t="s">
        <v>891</v>
      </c>
      <c r="CS6" s="1126" t="s">
        <v>889</v>
      </c>
      <c r="CT6" s="1126" t="s">
        <v>688</v>
      </c>
      <c r="CU6" s="1126" t="s">
        <v>689</v>
      </c>
      <c r="CV6" s="1126" t="s">
        <v>890</v>
      </c>
      <c r="CW6" s="1126" t="s">
        <v>891</v>
      </c>
      <c r="CX6" s="1126"/>
      <c r="CY6" s="1126"/>
      <c r="CZ6" s="1126"/>
      <c r="DA6" s="1126"/>
      <c r="DB6" s="1126"/>
      <c r="DC6" s="1138">
        <v>25</v>
      </c>
      <c r="DD6" s="1138" t="s">
        <v>690</v>
      </c>
      <c r="DE6" s="1138" t="s">
        <v>691</v>
      </c>
      <c r="DF6" s="1138">
        <v>26</v>
      </c>
      <c r="DG6" s="1138">
        <v>27</v>
      </c>
      <c r="DH6" s="1126">
        <v>28</v>
      </c>
      <c r="DI6" s="1126" t="s">
        <v>692</v>
      </c>
      <c r="DJ6" s="1126" t="s">
        <v>693</v>
      </c>
      <c r="DK6" s="1126">
        <v>29</v>
      </c>
      <c r="DL6" s="1126">
        <v>30</v>
      </c>
      <c r="DM6" s="1138">
        <v>31</v>
      </c>
      <c r="DN6" s="1138" t="s">
        <v>892</v>
      </c>
      <c r="DO6" s="1138" t="s">
        <v>893</v>
      </c>
      <c r="DP6" s="1138">
        <v>32</v>
      </c>
      <c r="DQ6" s="1138">
        <v>33</v>
      </c>
      <c r="DR6" s="392"/>
      <c r="DS6" s="392"/>
    </row>
    <row r="7" spans="1:123" s="866" customFormat="1" ht="15" hidden="1" customHeight="1">
      <c r="A7" s="858"/>
      <c r="B7" s="858"/>
      <c r="C7" s="859"/>
      <c r="D7" s="859"/>
      <c r="H7" s="859"/>
      <c r="I7" s="859"/>
      <c r="M7" s="859"/>
      <c r="N7" s="859"/>
      <c r="R7" s="859"/>
      <c r="S7" s="859"/>
      <c r="X7" s="859"/>
      <c r="AB7" s="859"/>
      <c r="AC7" s="859"/>
      <c r="AG7" s="859"/>
      <c r="AH7" s="859"/>
      <c r="AL7" s="859"/>
      <c r="AM7" s="859"/>
      <c r="AV7" s="859"/>
      <c r="AW7" s="859"/>
      <c r="BF7" s="1139"/>
      <c r="BG7" s="1139"/>
      <c r="BH7" s="1140"/>
      <c r="BI7" s="1140"/>
      <c r="BK7" s="859"/>
      <c r="BL7" s="859"/>
      <c r="BP7" s="859"/>
      <c r="BQ7" s="859"/>
      <c r="BU7" s="859"/>
      <c r="BV7" s="859"/>
      <c r="BZ7" s="859"/>
      <c r="CA7" s="859"/>
      <c r="CE7" s="859"/>
      <c r="CF7" s="859"/>
      <c r="CJ7" s="859"/>
      <c r="CK7" s="859"/>
      <c r="CO7" s="859"/>
      <c r="CP7" s="859"/>
      <c r="CT7" s="859"/>
      <c r="CU7" s="859"/>
      <c r="DC7" s="1140"/>
      <c r="DD7" s="1139"/>
      <c r="DE7" s="1139"/>
      <c r="DF7" s="1140"/>
      <c r="DG7" s="1140"/>
      <c r="DH7" s="1140"/>
      <c r="DM7" s="1140"/>
      <c r="DN7" s="1141"/>
      <c r="DO7" s="1141"/>
      <c r="DP7" s="1140"/>
      <c r="DQ7" s="1140"/>
      <c r="DR7" s="632"/>
      <c r="DS7" s="632"/>
    </row>
    <row r="8" spans="1:123" s="1142" customFormat="1" ht="15" customHeight="1">
      <c r="A8" s="1145" t="s">
        <v>796</v>
      </c>
      <c r="B8" s="1658"/>
      <c r="C8" s="1146"/>
      <c r="D8" s="1146"/>
      <c r="E8" s="1142">
        <f>SUM(C8+D8)</f>
        <v>0</v>
      </c>
      <c r="F8" s="1144"/>
      <c r="H8" s="1146"/>
      <c r="I8" s="1146"/>
      <c r="J8" s="1142">
        <f>SUM(H8+I8)</f>
        <v>0</v>
      </c>
      <c r="K8" s="1144"/>
      <c r="M8" s="1146"/>
      <c r="N8" s="1146"/>
      <c r="O8" s="1142">
        <f>SUM(M8+N8)</f>
        <v>0</v>
      </c>
      <c r="P8" s="1144">
        <f>M8-L8</f>
        <v>0</v>
      </c>
      <c r="R8" s="1146"/>
      <c r="S8" s="1146"/>
      <c r="T8" s="1142">
        <f>SUM(R8+S8)</f>
        <v>0</v>
      </c>
      <c r="U8" s="1144">
        <f>R8-Q8</f>
        <v>0</v>
      </c>
      <c r="X8" s="1146"/>
      <c r="Y8" s="1142">
        <f>SUM(W8+X8)</f>
        <v>0</v>
      </c>
      <c r="Z8" s="1144">
        <f>W8-V8</f>
        <v>0</v>
      </c>
      <c r="AB8" s="1146"/>
      <c r="AC8" s="1146"/>
      <c r="AD8" s="1142">
        <f>SUM(AB8+AC8)</f>
        <v>0</v>
      </c>
      <c r="AE8" s="1144">
        <f>AB8-AA8</f>
        <v>0</v>
      </c>
      <c r="AG8" s="1146"/>
      <c r="AH8" s="1146"/>
      <c r="AI8" s="1142">
        <f>SUM(AG8+AH8)</f>
        <v>0</v>
      </c>
      <c r="AJ8" s="1144">
        <f>AG8-AF8</f>
        <v>0</v>
      </c>
      <c r="AL8" s="1146"/>
      <c r="AM8" s="1146"/>
      <c r="AN8" s="1142">
        <f>SUM(AL8+AM8)</f>
        <v>0</v>
      </c>
      <c r="AO8" s="1144">
        <f>AL8-AK8</f>
        <v>0</v>
      </c>
      <c r="AS8" s="1142">
        <f>SUM(AQ8+AR8)</f>
        <v>0</v>
      </c>
      <c r="AT8" s="1144">
        <f>AQ8-AP8</f>
        <v>0</v>
      </c>
      <c r="AV8" s="1146"/>
      <c r="AW8" s="1146"/>
      <c r="AY8" s="1144">
        <f>AV8-AU8</f>
        <v>0</v>
      </c>
      <c r="BD8" s="1144">
        <f>BA8-AZ8</f>
        <v>0</v>
      </c>
      <c r="BE8" s="1147">
        <f>B8+G8+L8+Q8+V8+AA8+AF8+AK8+AP8+AU8+AZ8</f>
        <v>0</v>
      </c>
      <c r="BF8" s="1148">
        <f>C8+H8+M8+R8+W8+AB8+AG8+AL8+AQ8+AV8+BA8</f>
        <v>0</v>
      </c>
      <c r="BG8" s="1148">
        <f>D8+I8+N8+S8+X8+AC8+AH8+AM8+AR8+AW8+BB8</f>
        <v>0</v>
      </c>
      <c r="BH8" s="1143">
        <f>SUM(BF8+BG8)</f>
        <v>0</v>
      </c>
      <c r="BI8" s="1149">
        <f>BF8-BE8</f>
        <v>0</v>
      </c>
      <c r="BK8" s="1146"/>
      <c r="BL8" s="1146"/>
      <c r="BM8" s="1142">
        <f>SUM(BK8+BL8)</f>
        <v>0</v>
      </c>
      <c r="BN8" s="1142">
        <f>BK8-BJ8</f>
        <v>0</v>
      </c>
      <c r="BP8" s="1146"/>
      <c r="BQ8" s="1146"/>
      <c r="BR8" s="1142">
        <f>SUM(BP8+BQ8)</f>
        <v>0</v>
      </c>
      <c r="BS8" s="1144">
        <f>BP8-BO8</f>
        <v>0</v>
      </c>
      <c r="BU8" s="1146"/>
      <c r="BV8" s="1146"/>
      <c r="BW8" s="1142">
        <f>SUM(BU8+BV8)</f>
        <v>0</v>
      </c>
      <c r="BX8" s="1144">
        <f>BU8-BT8</f>
        <v>0</v>
      </c>
      <c r="BZ8" s="1146"/>
      <c r="CA8" s="1146"/>
      <c r="CB8" s="1142">
        <f>SUM(BZ8+CA8)</f>
        <v>0</v>
      </c>
      <c r="CC8" s="1144">
        <f>BZ8-BY8</f>
        <v>0</v>
      </c>
      <c r="CE8" s="1146"/>
      <c r="CF8" s="1146"/>
      <c r="CG8" s="1142">
        <f>SUM(CE8+CF8)</f>
        <v>0</v>
      </c>
      <c r="CH8" s="1144">
        <f>CE8-CD8</f>
        <v>0</v>
      </c>
      <c r="CJ8" s="1146"/>
      <c r="CK8" s="1146"/>
      <c r="CL8" s="1142">
        <f>SUM(CJ8+CK8)</f>
        <v>0</v>
      </c>
      <c r="CM8" s="1144">
        <f>CJ8-CI8</f>
        <v>0</v>
      </c>
      <c r="CO8" s="1146"/>
      <c r="CP8" s="1146"/>
      <c r="CQ8" s="1142">
        <f>SUM(CO8+CP8)</f>
        <v>0</v>
      </c>
      <c r="CR8" s="1144">
        <f>CO8-CN8</f>
        <v>0</v>
      </c>
      <c r="CT8" s="1146"/>
      <c r="CU8" s="1146"/>
      <c r="CV8" s="1142">
        <f>SUM(CT8+CU8)</f>
        <v>0</v>
      </c>
      <c r="CW8" s="1144">
        <f>CT8-CS8</f>
        <v>0</v>
      </c>
      <c r="CX8" s="1144"/>
      <c r="CY8" s="1144"/>
      <c r="CZ8" s="1144"/>
      <c r="DA8" s="1144">
        <v>0</v>
      </c>
      <c r="DB8" s="1144"/>
      <c r="DC8" s="1148">
        <f>BJ8+BO8+BT8+BY8+CD8+CI8+CN8++CS8</f>
        <v>0</v>
      </c>
      <c r="DD8" s="1148">
        <f>BK8+BP8+BU8+BX59+BZ8+CE8+CJ8+CO8+CT8</f>
        <v>0</v>
      </c>
      <c r="DE8" s="1148">
        <f>BL8+BQ8+BV8+CA8+CF8+CK8+CP8+CU8</f>
        <v>0</v>
      </c>
      <c r="DF8" s="1143">
        <f>SUM(DD8+DE8)</f>
        <v>0</v>
      </c>
      <c r="DG8" s="1143">
        <f>DD8-DC8</f>
        <v>0</v>
      </c>
      <c r="DH8" s="1143"/>
      <c r="DK8" s="1142">
        <f>SUM(DI8+DJ8)</f>
        <v>0</v>
      </c>
      <c r="DL8" s="1142">
        <f>DI8-DH8</f>
        <v>0</v>
      </c>
      <c r="DM8" s="1149">
        <f t="shared" ref="DM8:DO11" si="0">BE8+DC8+DH8</f>
        <v>0</v>
      </c>
      <c r="DN8" s="1149">
        <f t="shared" si="0"/>
        <v>0</v>
      </c>
      <c r="DO8" s="1149">
        <f t="shared" si="0"/>
        <v>0</v>
      </c>
      <c r="DP8" s="1143">
        <f>SUM(DN8+DO8)</f>
        <v>0</v>
      </c>
      <c r="DQ8" s="1143">
        <f>DN8-DM8</f>
        <v>0</v>
      </c>
    </row>
    <row r="9" spans="1:123" s="1142" customFormat="1" ht="15" customHeight="1">
      <c r="A9" s="858" t="s">
        <v>828</v>
      </c>
      <c r="B9" s="1658"/>
      <c r="C9" s="1146"/>
      <c r="D9" s="1146"/>
      <c r="E9" s="1142">
        <f>SUM(C9+D9)</f>
        <v>0</v>
      </c>
      <c r="F9" s="1144"/>
      <c r="H9" s="1146"/>
      <c r="I9" s="1146"/>
      <c r="J9" s="1142">
        <f>SUM(H9+I9)</f>
        <v>0</v>
      </c>
      <c r="K9" s="1144"/>
      <c r="M9" s="1146"/>
      <c r="N9" s="1146"/>
      <c r="O9" s="1142">
        <f>SUM(M9+N9)</f>
        <v>0</v>
      </c>
      <c r="P9" s="1144">
        <f>M9-L9</f>
        <v>0</v>
      </c>
      <c r="R9" s="1146"/>
      <c r="S9" s="1146"/>
      <c r="T9" s="1142">
        <f>SUM(R9+S9)</f>
        <v>0</v>
      </c>
      <c r="U9" s="1144">
        <f>R9-Q9</f>
        <v>0</v>
      </c>
      <c r="X9" s="1146"/>
      <c r="Y9" s="1142">
        <f>SUM(W9+X9)</f>
        <v>0</v>
      </c>
      <c r="Z9" s="1144">
        <f>W9-V9</f>
        <v>0</v>
      </c>
      <c r="AB9" s="1146"/>
      <c r="AC9" s="1146"/>
      <c r="AD9" s="1142">
        <f>SUM(AB9+AC9)</f>
        <v>0</v>
      </c>
      <c r="AE9" s="1144">
        <f>AB9-AA9</f>
        <v>0</v>
      </c>
      <c r="AG9" s="1146"/>
      <c r="AH9" s="1146"/>
      <c r="AI9" s="1142">
        <f>SUM(AG9+AH9)</f>
        <v>0</v>
      </c>
      <c r="AJ9" s="1144">
        <f>AG9-AF9</f>
        <v>0</v>
      </c>
      <c r="AL9" s="1146"/>
      <c r="AM9" s="1146"/>
      <c r="AN9" s="1142">
        <f>SUM(AL9+AM9)</f>
        <v>0</v>
      </c>
      <c r="AO9" s="1144">
        <f>AL9-AK9</f>
        <v>0</v>
      </c>
      <c r="AS9" s="1142">
        <f>SUM(AQ9+AR9)</f>
        <v>0</v>
      </c>
      <c r="AT9" s="1144"/>
      <c r="AV9" s="1146"/>
      <c r="AW9" s="1146"/>
      <c r="AY9" s="1144"/>
      <c r="BD9" s="1144"/>
      <c r="BE9" s="1147"/>
      <c r="BF9" s="1148">
        <f t="shared" ref="BF9:BG11" si="1">C9+H9+M9+R9+W9+AB9+AG9+AL9+AQ9+AV9+BA9</f>
        <v>0</v>
      </c>
      <c r="BG9" s="1148">
        <f t="shared" si="1"/>
        <v>0</v>
      </c>
      <c r="BH9" s="1143">
        <f>SUM(BF9+BG9)</f>
        <v>0</v>
      </c>
      <c r="BI9" s="1149"/>
      <c r="BK9" s="1146"/>
      <c r="BL9" s="1146"/>
      <c r="BM9" s="1142">
        <f>SUM(BK9+BL9)</f>
        <v>0</v>
      </c>
      <c r="BN9" s="1142">
        <f>BK9-BJ9</f>
        <v>0</v>
      </c>
      <c r="BP9" s="1146"/>
      <c r="BQ9" s="1146"/>
      <c r="BR9" s="1142">
        <f>SUM(BP9+BQ9)</f>
        <v>0</v>
      </c>
      <c r="BS9" s="1144"/>
      <c r="BU9" s="1146"/>
      <c r="BV9" s="1146"/>
      <c r="BW9" s="1142">
        <f>SUM(BU9+BV9)</f>
        <v>0</v>
      </c>
      <c r="BX9" s="1144"/>
      <c r="BZ9" s="1146"/>
      <c r="CA9" s="1146"/>
      <c r="CC9" s="1144"/>
      <c r="CE9" s="1146"/>
      <c r="CF9" s="1146"/>
      <c r="CH9" s="1144"/>
      <c r="CJ9" s="1146"/>
      <c r="CK9" s="1146"/>
      <c r="CM9" s="1144"/>
      <c r="CO9" s="1146"/>
      <c r="CP9" s="1146"/>
      <c r="CR9" s="1144"/>
      <c r="CT9" s="1146"/>
      <c r="CU9" s="1146"/>
      <c r="CW9" s="1144"/>
      <c r="CX9" s="1144"/>
      <c r="CY9" s="1144"/>
      <c r="CZ9" s="1144"/>
      <c r="DA9" s="1144"/>
      <c r="DB9" s="1144"/>
      <c r="DC9" s="1148"/>
      <c r="DD9" s="1148">
        <f t="shared" ref="DD9:DE11" si="2">BK9+BP9+BU9+CT9</f>
        <v>0</v>
      </c>
      <c r="DE9" s="1148">
        <f t="shared" si="2"/>
        <v>0</v>
      </c>
      <c r="DF9" s="1143">
        <f>SUM(DD9+DE9)</f>
        <v>0</v>
      </c>
      <c r="DG9" s="1143"/>
      <c r="DH9" s="1143"/>
      <c r="DK9" s="1142">
        <f>SUM(DI9+DJ9)</f>
        <v>0</v>
      </c>
      <c r="DL9" s="1142">
        <f>DI9-DH9</f>
        <v>0</v>
      </c>
      <c r="DM9" s="1149">
        <f t="shared" si="0"/>
        <v>0</v>
      </c>
      <c r="DN9" s="1149">
        <f t="shared" si="0"/>
        <v>0</v>
      </c>
      <c r="DO9" s="1149">
        <f t="shared" si="0"/>
        <v>0</v>
      </c>
      <c r="DP9" s="1143">
        <f>SUM(DN9+DO9)</f>
        <v>0</v>
      </c>
      <c r="DQ9" s="1143">
        <f>DN9-DM9</f>
        <v>0</v>
      </c>
    </row>
    <row r="10" spans="1:123" s="1142" customFormat="1" ht="15" customHeight="1">
      <c r="A10" s="858" t="s">
        <v>696</v>
      </c>
      <c r="B10" s="1145"/>
      <c r="C10" s="1146"/>
      <c r="D10" s="1146"/>
      <c r="E10" s="1142">
        <f>SUM(C10+D10)</f>
        <v>0</v>
      </c>
      <c r="F10" s="1144"/>
      <c r="H10" s="1146"/>
      <c r="I10" s="1146"/>
      <c r="J10" s="1142">
        <f>SUM(H10+I10)</f>
        <v>0</v>
      </c>
      <c r="K10" s="1144"/>
      <c r="M10" s="1146"/>
      <c r="N10" s="1146"/>
      <c r="O10" s="1142">
        <f>SUM(M10+N10)</f>
        <v>0</v>
      </c>
      <c r="P10" s="1144">
        <f>M10-L10</f>
        <v>0</v>
      </c>
      <c r="R10" s="1146"/>
      <c r="S10" s="1146"/>
      <c r="T10" s="1142">
        <f>SUM(R10+S10)</f>
        <v>0</v>
      </c>
      <c r="U10" s="1144">
        <f>R10-Q10</f>
        <v>0</v>
      </c>
      <c r="X10" s="1146"/>
      <c r="Y10" s="1142">
        <f>SUM(W10+X10)</f>
        <v>0</v>
      </c>
      <c r="Z10" s="1144">
        <f>W10-V10</f>
        <v>0</v>
      </c>
      <c r="AB10" s="1146"/>
      <c r="AC10" s="1146"/>
      <c r="AD10" s="1142">
        <f>SUM(AB10+AC10)</f>
        <v>0</v>
      </c>
      <c r="AE10" s="1144">
        <f>AB10-AA10</f>
        <v>0</v>
      </c>
      <c r="AG10" s="1146"/>
      <c r="AH10" s="1146"/>
      <c r="AI10" s="1142">
        <f>SUM(AG10+AH10)</f>
        <v>0</v>
      </c>
      <c r="AJ10" s="1144">
        <f>AG10-AF10</f>
        <v>0</v>
      </c>
      <c r="AL10" s="1146"/>
      <c r="AM10" s="1146"/>
      <c r="AN10" s="1142">
        <f>SUM(AL10+AM10)</f>
        <v>0</v>
      </c>
      <c r="AO10" s="1144">
        <f>AL10-AK10</f>
        <v>0</v>
      </c>
      <c r="AS10" s="1142">
        <f>SUM(AQ10+AR10)</f>
        <v>0</v>
      </c>
      <c r="AT10" s="1144">
        <f>AQ10-AP10</f>
        <v>0</v>
      </c>
      <c r="AV10" s="1146"/>
      <c r="AW10" s="1146"/>
      <c r="AY10" s="1144">
        <f>AV10-AU10</f>
        <v>0</v>
      </c>
      <c r="BD10" s="1144">
        <f>BA10-AZ10</f>
        <v>0</v>
      </c>
      <c r="BE10" s="1147">
        <f>B10+G10+L10+Q10+V10+AA10+AF10+AK10+AP10+AU10+AZ10</f>
        <v>0</v>
      </c>
      <c r="BF10" s="1148">
        <f t="shared" si="1"/>
        <v>0</v>
      </c>
      <c r="BG10" s="1148">
        <f t="shared" si="1"/>
        <v>0</v>
      </c>
      <c r="BH10" s="1143">
        <f>SUM(BF10+BG10)</f>
        <v>0</v>
      </c>
      <c r="BI10" s="1149">
        <f>BF10-BE10</f>
        <v>0</v>
      </c>
      <c r="BK10" s="1146"/>
      <c r="BL10" s="1146"/>
      <c r="BM10" s="1142">
        <f>SUM(BK10+BL10)</f>
        <v>0</v>
      </c>
      <c r="BN10" s="1142">
        <f>BK10-BJ10</f>
        <v>0</v>
      </c>
      <c r="BP10" s="1146"/>
      <c r="BQ10" s="1146"/>
      <c r="BR10" s="1142">
        <f>SUM(BP10+BQ10)</f>
        <v>0</v>
      </c>
      <c r="BS10" s="1144">
        <f>BP10-BO10</f>
        <v>0</v>
      </c>
      <c r="BU10" s="1146"/>
      <c r="BV10" s="1146"/>
      <c r="BW10" s="1142">
        <f>SUM(BU10+BV10)</f>
        <v>0</v>
      </c>
      <c r="BX10" s="1144">
        <f>BU10-BT10</f>
        <v>0</v>
      </c>
      <c r="BZ10" s="1146"/>
      <c r="CA10" s="1146"/>
      <c r="CB10" s="1142">
        <f>SUM(BZ10+CA10)</f>
        <v>0</v>
      </c>
      <c r="CC10" s="1144">
        <f>BZ10-BY10</f>
        <v>0</v>
      </c>
      <c r="CE10" s="1146"/>
      <c r="CF10" s="1146"/>
      <c r="CG10" s="1142">
        <f>SUM(CE10+CF10)</f>
        <v>0</v>
      </c>
      <c r="CH10" s="1144">
        <f>CE10-CD10</f>
        <v>0</v>
      </c>
      <c r="CJ10" s="1146"/>
      <c r="CK10" s="1146"/>
      <c r="CL10" s="1142">
        <f>SUM(CJ10+CK10)</f>
        <v>0</v>
      </c>
      <c r="CM10" s="1144">
        <f>CJ10-CI10</f>
        <v>0</v>
      </c>
      <c r="CO10" s="1146"/>
      <c r="CP10" s="1146"/>
      <c r="CQ10" s="1142">
        <f>SUM(CO10+CP10)</f>
        <v>0</v>
      </c>
      <c r="CR10" s="1144">
        <f>CO10-CN10</f>
        <v>0</v>
      </c>
      <c r="CT10" s="1146"/>
      <c r="CU10" s="1146"/>
      <c r="CV10" s="1142">
        <f>SUM(CT10+CU10)</f>
        <v>0</v>
      </c>
      <c r="CW10" s="1144">
        <f>CT10-CS10</f>
        <v>0</v>
      </c>
      <c r="CX10" s="1144"/>
      <c r="CY10" s="1144"/>
      <c r="CZ10" s="1144"/>
      <c r="DA10" s="1144">
        <v>0</v>
      </c>
      <c r="DB10" s="1144"/>
      <c r="DC10" s="1148">
        <f>BJ10+BO10+BT10+CS10</f>
        <v>0</v>
      </c>
      <c r="DD10" s="1148">
        <f t="shared" si="2"/>
        <v>0</v>
      </c>
      <c r="DE10" s="1148">
        <f t="shared" si="2"/>
        <v>0</v>
      </c>
      <c r="DF10" s="1143">
        <f>SUM(DD10+DE10)</f>
        <v>0</v>
      </c>
      <c r="DG10" s="1143">
        <f>DD10-DC10</f>
        <v>0</v>
      </c>
      <c r="DH10" s="1143"/>
      <c r="DK10" s="1142">
        <f>SUM(DI10+DJ10)</f>
        <v>0</v>
      </c>
      <c r="DL10" s="1142">
        <f>DI10-DH10</f>
        <v>0</v>
      </c>
      <c r="DM10" s="1149">
        <f t="shared" si="0"/>
        <v>0</v>
      </c>
      <c r="DN10" s="1149">
        <f t="shared" si="0"/>
        <v>0</v>
      </c>
      <c r="DO10" s="1149">
        <f t="shared" si="0"/>
        <v>0</v>
      </c>
      <c r="DP10" s="1143">
        <f>SUM(DN10+DO10)</f>
        <v>0</v>
      </c>
      <c r="DQ10" s="1143">
        <f>DN10-DM10</f>
        <v>0</v>
      </c>
    </row>
    <row r="11" spans="1:123" s="1142" customFormat="1" ht="15" customHeight="1">
      <c r="A11" s="858" t="s">
        <v>697</v>
      </c>
      <c r="B11" s="1145"/>
      <c r="C11" s="1146"/>
      <c r="D11" s="1146"/>
      <c r="E11" s="1142">
        <f>SUM(C11+D11)</f>
        <v>0</v>
      </c>
      <c r="F11" s="1144"/>
      <c r="H11" s="1146"/>
      <c r="I11" s="1146"/>
      <c r="J11" s="1142">
        <f>SUM(H11+I11)</f>
        <v>0</v>
      </c>
      <c r="K11" s="1144"/>
      <c r="M11" s="1146"/>
      <c r="N11" s="1146"/>
      <c r="O11" s="1142">
        <f>SUM(M11+N11)</f>
        <v>0</v>
      </c>
      <c r="P11" s="1144">
        <f>M11-L11</f>
        <v>0</v>
      </c>
      <c r="R11" s="1146"/>
      <c r="S11" s="1146"/>
      <c r="T11" s="1142">
        <f>SUM(R11+S11)</f>
        <v>0</v>
      </c>
      <c r="U11" s="1144">
        <f>R11-Q11</f>
        <v>0</v>
      </c>
      <c r="X11" s="1146"/>
      <c r="Y11" s="1142">
        <f>SUM(W11+X11)</f>
        <v>0</v>
      </c>
      <c r="Z11" s="1144">
        <f>W11-V11</f>
        <v>0</v>
      </c>
      <c r="AB11" s="1146"/>
      <c r="AC11" s="1146"/>
      <c r="AD11" s="1142">
        <f>SUM(AB11+AC11)</f>
        <v>0</v>
      </c>
      <c r="AE11" s="1144">
        <f>AB11-AA11</f>
        <v>0</v>
      </c>
      <c r="AG11" s="1146"/>
      <c r="AH11" s="1146"/>
      <c r="AI11" s="1142">
        <f>SUM(AG11+AH11)</f>
        <v>0</v>
      </c>
      <c r="AJ11" s="1144">
        <f>AG11-AF11</f>
        <v>0</v>
      </c>
      <c r="AL11" s="1146"/>
      <c r="AM11" s="1146"/>
      <c r="AN11" s="1142">
        <f>SUM(AL11+AM11)</f>
        <v>0</v>
      </c>
      <c r="AO11" s="1144">
        <f>AL11-AK11</f>
        <v>0</v>
      </c>
      <c r="AS11" s="1142">
        <f>SUM(AQ11+AR11)</f>
        <v>0</v>
      </c>
      <c r="AT11" s="1144">
        <f>AQ11-AP11</f>
        <v>0</v>
      </c>
      <c r="AV11" s="1146"/>
      <c r="AW11" s="1146"/>
      <c r="AY11" s="1144">
        <f>AV11-AU11</f>
        <v>0</v>
      </c>
      <c r="BD11" s="1144">
        <f>BA11-AZ11</f>
        <v>0</v>
      </c>
      <c r="BE11" s="1147">
        <f>B11+G11+L11+Q11+V11+AA11+AF11+AK11+AP11+AU11+AZ11</f>
        <v>0</v>
      </c>
      <c r="BF11" s="1148">
        <f t="shared" si="1"/>
        <v>0</v>
      </c>
      <c r="BG11" s="1148">
        <f t="shared" si="1"/>
        <v>0</v>
      </c>
      <c r="BH11" s="1143">
        <f>SUM(BF11+BG11)</f>
        <v>0</v>
      </c>
      <c r="BI11" s="1149">
        <f>BF11-BE11</f>
        <v>0</v>
      </c>
      <c r="BK11" s="1146"/>
      <c r="BL11" s="1146"/>
      <c r="BM11" s="1142">
        <f>SUM(BK11+BL11)</f>
        <v>0</v>
      </c>
      <c r="BN11" s="1142">
        <f>BK11-BJ11</f>
        <v>0</v>
      </c>
      <c r="BP11" s="1146"/>
      <c r="BQ11" s="1146"/>
      <c r="BR11" s="1142">
        <f>SUM(BP11+BQ11)</f>
        <v>0</v>
      </c>
      <c r="BS11" s="1144">
        <f>BP11-BO11</f>
        <v>0</v>
      </c>
      <c r="BU11" s="1146"/>
      <c r="BV11" s="1146"/>
      <c r="BW11" s="1142">
        <f>SUM(BU11+BV11)</f>
        <v>0</v>
      </c>
      <c r="BX11" s="1144">
        <f>BU11-BT11</f>
        <v>0</v>
      </c>
      <c r="BZ11" s="1146"/>
      <c r="CA11" s="1146"/>
      <c r="CB11" s="1142">
        <f>SUM(BZ11+CA11)</f>
        <v>0</v>
      </c>
      <c r="CC11" s="1144">
        <f>BZ11-BY11</f>
        <v>0</v>
      </c>
      <c r="CE11" s="1146"/>
      <c r="CF11" s="1146"/>
      <c r="CG11" s="1142">
        <f>SUM(CE11+CF11)</f>
        <v>0</v>
      </c>
      <c r="CH11" s="1144">
        <f>CE11-CD11</f>
        <v>0</v>
      </c>
      <c r="CJ11" s="1146"/>
      <c r="CK11" s="1146"/>
      <c r="CL11" s="1142">
        <f>SUM(CJ11+CK11)</f>
        <v>0</v>
      </c>
      <c r="CM11" s="1144">
        <f>CJ11-CI11</f>
        <v>0</v>
      </c>
      <c r="CO11" s="1146"/>
      <c r="CP11" s="1146"/>
      <c r="CQ11" s="1142">
        <f>SUM(CO11+CP11)</f>
        <v>0</v>
      </c>
      <c r="CR11" s="1144">
        <f>CO11-CN11</f>
        <v>0</v>
      </c>
      <c r="CT11" s="1146"/>
      <c r="CU11" s="1146"/>
      <c r="CV11" s="1142">
        <f>SUM(CT11+CU11)</f>
        <v>0</v>
      </c>
      <c r="CW11" s="1144">
        <f>CT11-CS11</f>
        <v>0</v>
      </c>
      <c r="CX11" s="1144"/>
      <c r="CY11" s="1144"/>
      <c r="CZ11" s="1144"/>
      <c r="DA11" s="1144">
        <v>0</v>
      </c>
      <c r="DB11" s="1144"/>
      <c r="DC11" s="1148">
        <f>BJ11+BO11+BT11+CS11</f>
        <v>0</v>
      </c>
      <c r="DD11" s="1148">
        <f t="shared" si="2"/>
        <v>0</v>
      </c>
      <c r="DE11" s="1148">
        <f t="shared" si="2"/>
        <v>0</v>
      </c>
      <c r="DF11" s="1143">
        <f>SUM(DD11+DE11)</f>
        <v>0</v>
      </c>
      <c r="DG11" s="1143">
        <f>DD11-DC11</f>
        <v>0</v>
      </c>
      <c r="DH11" s="1143"/>
      <c r="DK11" s="1142">
        <f>SUM(DI11+DJ11)</f>
        <v>0</v>
      </c>
      <c r="DL11" s="1142">
        <f>DI11-DH11</f>
        <v>0</v>
      </c>
      <c r="DM11" s="1149">
        <f t="shared" si="0"/>
        <v>0</v>
      </c>
      <c r="DN11" s="1149">
        <f t="shared" si="0"/>
        <v>0</v>
      </c>
      <c r="DO11" s="1149">
        <f t="shared" si="0"/>
        <v>0</v>
      </c>
      <c r="DP11" s="1143">
        <f>SUM(DN11+DO11)</f>
        <v>0</v>
      </c>
      <c r="DQ11" s="1143">
        <f>DN11-DM11</f>
        <v>0</v>
      </c>
    </row>
    <row r="12" spans="1:123" s="1142" customFormat="1" ht="7.5" customHeight="1">
      <c r="A12" s="1145"/>
      <c r="B12" s="1145"/>
      <c r="C12" s="1146"/>
      <c r="D12" s="1146"/>
      <c r="F12" s="1144"/>
      <c r="H12" s="1146"/>
      <c r="I12" s="1146"/>
      <c r="K12" s="1144"/>
      <c r="M12" s="1146"/>
      <c r="N12" s="1146"/>
      <c r="P12" s="1144"/>
      <c r="R12" s="1146"/>
      <c r="S12" s="1146"/>
      <c r="U12" s="1144"/>
      <c r="X12" s="1146"/>
      <c r="Z12" s="1144"/>
      <c r="AB12" s="1146"/>
      <c r="AC12" s="1146"/>
      <c r="AE12" s="1144"/>
      <c r="AG12" s="1146"/>
      <c r="AH12" s="1146"/>
      <c r="AJ12" s="1144"/>
      <c r="AL12" s="1146"/>
      <c r="AM12" s="1146"/>
      <c r="AO12" s="1144"/>
      <c r="AT12" s="1144"/>
      <c r="AV12" s="1146"/>
      <c r="AW12" s="1146"/>
      <c r="AY12" s="1144"/>
      <c r="BD12" s="1144"/>
      <c r="BE12" s="1147"/>
      <c r="BF12" s="1148"/>
      <c r="BG12" s="1148"/>
      <c r="BH12" s="1143"/>
      <c r="BI12" s="1149"/>
      <c r="BK12" s="1146"/>
      <c r="BL12" s="1146"/>
      <c r="BP12" s="1146"/>
      <c r="BQ12" s="1146"/>
      <c r="BS12" s="1144"/>
      <c r="BU12" s="1146"/>
      <c r="BV12" s="1146"/>
      <c r="BX12" s="1144"/>
      <c r="BZ12" s="1146"/>
      <c r="CA12" s="1146"/>
      <c r="CC12" s="1144"/>
      <c r="CE12" s="1146"/>
      <c r="CF12" s="1146"/>
      <c r="CH12" s="1144"/>
      <c r="CJ12" s="1146"/>
      <c r="CK12" s="1146"/>
      <c r="CM12" s="1144"/>
      <c r="CO12" s="1146"/>
      <c r="CP12" s="1146"/>
      <c r="CR12" s="1144"/>
      <c r="CT12" s="1146"/>
      <c r="CU12" s="1146"/>
      <c r="CW12" s="1144"/>
      <c r="CX12" s="1144"/>
      <c r="CY12" s="1144"/>
      <c r="CZ12" s="1144"/>
      <c r="DA12" s="1144">
        <v>0</v>
      </c>
      <c r="DB12" s="1144"/>
      <c r="DC12" s="1148"/>
      <c r="DD12" s="1148"/>
      <c r="DE12" s="1148"/>
      <c r="DF12" s="1143"/>
      <c r="DG12" s="1143"/>
      <c r="DH12" s="1143"/>
      <c r="DM12" s="1149"/>
      <c r="DN12" s="1149"/>
      <c r="DO12" s="1149"/>
      <c r="DP12" s="1143"/>
      <c r="DQ12" s="1143"/>
    </row>
    <row r="13" spans="1:123" s="1142" customFormat="1" ht="15" customHeight="1">
      <c r="A13" s="980" t="s">
        <v>894</v>
      </c>
      <c r="B13" s="1145"/>
      <c r="C13" s="1146"/>
      <c r="D13" s="1146"/>
      <c r="E13" s="1142">
        <f>SUM(C13+D13)</f>
        <v>0</v>
      </c>
      <c r="F13" s="1144"/>
      <c r="H13" s="1146"/>
      <c r="I13" s="1146"/>
      <c r="J13" s="1142">
        <f>SUM(H13+I13)</f>
        <v>0</v>
      </c>
      <c r="K13" s="1144"/>
      <c r="M13" s="1146"/>
      <c r="N13" s="1146"/>
      <c r="O13" s="1142">
        <f>SUM(M13+N13)</f>
        <v>0</v>
      </c>
      <c r="P13" s="1144">
        <f>M13-L13</f>
        <v>0</v>
      </c>
      <c r="R13" s="1146"/>
      <c r="S13" s="1146"/>
      <c r="T13" s="1142">
        <f>SUM(R13+S13)</f>
        <v>0</v>
      </c>
      <c r="U13" s="1144">
        <f>R13-Q13</f>
        <v>0</v>
      </c>
      <c r="X13" s="1146"/>
      <c r="Y13" s="1142">
        <f>SUM(W13+X13)</f>
        <v>0</v>
      </c>
      <c r="Z13" s="1144">
        <f>W13-V13</f>
        <v>0</v>
      </c>
      <c r="AB13" s="1146"/>
      <c r="AC13" s="1146"/>
      <c r="AD13" s="1142">
        <f>SUM(AB13+AC13)</f>
        <v>0</v>
      </c>
      <c r="AE13" s="1144">
        <f>AB13-AA13</f>
        <v>0</v>
      </c>
      <c r="AG13" s="1146"/>
      <c r="AH13" s="1146"/>
      <c r="AI13" s="1142">
        <f>SUM(AG13+AH13)</f>
        <v>0</v>
      </c>
      <c r="AJ13" s="1144">
        <f>AG13-AF13</f>
        <v>0</v>
      </c>
      <c r="AL13" s="1146"/>
      <c r="AM13" s="1146"/>
      <c r="AN13" s="1142">
        <f>SUM(AL13+AM13)</f>
        <v>0</v>
      </c>
      <c r="AO13" s="1144">
        <f>AL13-AK13</f>
        <v>0</v>
      </c>
      <c r="AS13" s="1142">
        <f>SUM(AQ13+AR13)</f>
        <v>0</v>
      </c>
      <c r="AT13" s="1144">
        <f>AQ13-AP13</f>
        <v>0</v>
      </c>
      <c r="AV13" s="1146"/>
      <c r="AW13" s="1146"/>
      <c r="AX13" s="1142">
        <f>SUM(AV13+AW13)</f>
        <v>0</v>
      </c>
      <c r="AY13" s="1144">
        <f>AV13-AU13</f>
        <v>0</v>
      </c>
      <c r="BC13" s="1142">
        <f>SUM(BA13+BB13)</f>
        <v>0</v>
      </c>
      <c r="BD13" s="1144">
        <f>BA13-AZ13</f>
        <v>0</v>
      </c>
      <c r="BE13" s="1147">
        <f t="shared" ref="BE13:BG14" si="3">B13+G13+L13+Q13+V13+AA13+AF13+AK13+AP13+AU13+AZ13</f>
        <v>0</v>
      </c>
      <c r="BF13" s="1148">
        <f t="shared" si="3"/>
        <v>0</v>
      </c>
      <c r="BG13" s="1148">
        <f t="shared" si="3"/>
        <v>0</v>
      </c>
      <c r="BH13" s="1143">
        <f>SUM(BF13+BG13)</f>
        <v>0</v>
      </c>
      <c r="BI13" s="1149">
        <f>BF13-BE13</f>
        <v>0</v>
      </c>
      <c r="BK13" s="1146"/>
      <c r="BL13" s="1146"/>
      <c r="BM13" s="1142">
        <f>SUM(BK13+BL13)</f>
        <v>0</v>
      </c>
      <c r="BN13" s="1142">
        <f>BK13-BJ13</f>
        <v>0</v>
      </c>
      <c r="BP13" s="1146"/>
      <c r="BQ13" s="1146"/>
      <c r="BR13" s="1142">
        <f>SUM(BP13+BQ13)</f>
        <v>0</v>
      </c>
      <c r="BS13" s="1144">
        <f>BP13-BO13</f>
        <v>0</v>
      </c>
      <c r="BU13" s="1146"/>
      <c r="BV13" s="1146"/>
      <c r="BW13" s="1142">
        <f>SUM(BU13+BV13)</f>
        <v>0</v>
      </c>
      <c r="BX13" s="1144">
        <f>BU13-BT13</f>
        <v>0</v>
      </c>
      <c r="BZ13" s="1146"/>
      <c r="CA13" s="1146"/>
      <c r="CB13" s="1142">
        <f>SUM(BZ13+CA13)</f>
        <v>0</v>
      </c>
      <c r="CC13" s="1144">
        <f>BZ13-BY13</f>
        <v>0</v>
      </c>
      <c r="CE13" s="1146"/>
      <c r="CF13" s="1146"/>
      <c r="CG13" s="1142">
        <f>SUM(CE13+CF13)</f>
        <v>0</v>
      </c>
      <c r="CH13" s="1144">
        <f>CE13-CD13</f>
        <v>0</v>
      </c>
      <c r="CJ13" s="1146"/>
      <c r="CK13" s="1146"/>
      <c r="CL13" s="1142">
        <f>SUM(CJ13+CK13)</f>
        <v>0</v>
      </c>
      <c r="CM13" s="1144">
        <f>CJ13-CI13</f>
        <v>0</v>
      </c>
      <c r="CO13" s="1146"/>
      <c r="CP13" s="1146"/>
      <c r="CQ13" s="1142">
        <f>SUM(CO13+CP13)</f>
        <v>0</v>
      </c>
      <c r="CR13" s="1144">
        <f>CO13-CN13</f>
        <v>0</v>
      </c>
      <c r="CT13" s="1146"/>
      <c r="CU13" s="1146"/>
      <c r="CV13" s="1142">
        <f>SUM(CT13+CU13)</f>
        <v>0</v>
      </c>
      <c r="CW13" s="1144">
        <f>CT13-CS13</f>
        <v>0</v>
      </c>
      <c r="CX13" s="1144"/>
      <c r="CY13" s="1144"/>
      <c r="CZ13" s="1144"/>
      <c r="DA13" s="1144">
        <v>0</v>
      </c>
      <c r="DB13" s="1144"/>
      <c r="DC13" s="1148">
        <f t="shared" ref="DC13:DE14" si="4">BJ13+BO13+BT13+CS13</f>
        <v>0</v>
      </c>
      <c r="DD13" s="1148">
        <f t="shared" si="4"/>
        <v>0</v>
      </c>
      <c r="DE13" s="1148">
        <f t="shared" si="4"/>
        <v>0</v>
      </c>
      <c r="DF13" s="1143">
        <f>SUM(DD13+DE13)</f>
        <v>0</v>
      </c>
      <c r="DG13" s="1143">
        <f>DD13-DC13</f>
        <v>0</v>
      </c>
      <c r="DH13" s="1143"/>
      <c r="DK13" s="1142">
        <f>SUM(DI13+DJ13)</f>
        <v>0</v>
      </c>
      <c r="DL13" s="1142">
        <f>DI13-DH13</f>
        <v>0</v>
      </c>
      <c r="DM13" s="1149">
        <f t="shared" ref="DM13:DO14" si="5">BE13+DC13+DH13</f>
        <v>0</v>
      </c>
      <c r="DN13" s="1149">
        <f t="shared" si="5"/>
        <v>0</v>
      </c>
      <c r="DO13" s="1149">
        <f t="shared" si="5"/>
        <v>0</v>
      </c>
      <c r="DP13" s="1143">
        <f>SUM(DN13+DO13)</f>
        <v>0</v>
      </c>
      <c r="DQ13" s="1143">
        <f>DN13-DM13</f>
        <v>0</v>
      </c>
    </row>
    <row r="14" spans="1:123" s="1142" customFormat="1" ht="15" customHeight="1">
      <c r="A14" s="980" t="s">
        <v>895</v>
      </c>
      <c r="B14" s="1145"/>
      <c r="C14" s="1146"/>
      <c r="D14" s="1146"/>
      <c r="E14" s="1142">
        <f>SUM(C14+D14)</f>
        <v>0</v>
      </c>
      <c r="F14" s="1144"/>
      <c r="H14" s="1146"/>
      <c r="I14" s="1146"/>
      <c r="J14" s="1142">
        <f>SUM(H14+I14)</f>
        <v>0</v>
      </c>
      <c r="K14" s="1144"/>
      <c r="M14" s="1146"/>
      <c r="N14" s="1146"/>
      <c r="O14" s="1142">
        <f>SUM(M14+N14)</f>
        <v>0</v>
      </c>
      <c r="P14" s="1144">
        <f>M14-L14</f>
        <v>0</v>
      </c>
      <c r="R14" s="1146"/>
      <c r="S14" s="1146"/>
      <c r="T14" s="1142">
        <f>SUM(R14+S14)</f>
        <v>0</v>
      </c>
      <c r="U14" s="1144">
        <f>R14-Q14</f>
        <v>0</v>
      </c>
      <c r="X14" s="1146"/>
      <c r="Y14" s="1142">
        <f>SUM(W14+X14)</f>
        <v>0</v>
      </c>
      <c r="Z14" s="1144">
        <f>W14-V14</f>
        <v>0</v>
      </c>
      <c r="AB14" s="1146"/>
      <c r="AC14" s="1146"/>
      <c r="AD14" s="1142">
        <f>SUM(AB14+AC14)</f>
        <v>0</v>
      </c>
      <c r="AE14" s="1144">
        <f>AB14-AA14</f>
        <v>0</v>
      </c>
      <c r="AG14" s="1146"/>
      <c r="AH14" s="1146"/>
      <c r="AI14" s="1142">
        <f>SUM(AG14+AH14)</f>
        <v>0</v>
      </c>
      <c r="AJ14" s="1144">
        <f>AG14-AF14</f>
        <v>0</v>
      </c>
      <c r="AL14" s="1146"/>
      <c r="AM14" s="1146"/>
      <c r="AN14" s="1142">
        <f>SUM(AL14+AM14)</f>
        <v>0</v>
      </c>
      <c r="AO14" s="1144">
        <f>AL14-AK14</f>
        <v>0</v>
      </c>
      <c r="AS14" s="1142">
        <f>SUM(AQ14+AR14)</f>
        <v>0</v>
      </c>
      <c r="AT14" s="1144">
        <f>AQ14-AP14</f>
        <v>0</v>
      </c>
      <c r="AV14" s="1146"/>
      <c r="AW14" s="1146"/>
      <c r="AX14" s="1142">
        <f>SUM(AV14+AW14)</f>
        <v>0</v>
      </c>
      <c r="AY14" s="1144">
        <f>AV14-AU14</f>
        <v>0</v>
      </c>
      <c r="BC14" s="1142">
        <f>SUM(BA14+BB14)</f>
        <v>0</v>
      </c>
      <c r="BD14" s="1144">
        <f>BA14-AZ14</f>
        <v>0</v>
      </c>
      <c r="BE14" s="1147">
        <f t="shared" si="3"/>
        <v>0</v>
      </c>
      <c r="BF14" s="1148">
        <f t="shared" si="3"/>
        <v>0</v>
      </c>
      <c r="BG14" s="1148">
        <f t="shared" si="3"/>
        <v>0</v>
      </c>
      <c r="BH14" s="1143">
        <f>SUM(BF14+BG14)</f>
        <v>0</v>
      </c>
      <c r="BI14" s="1149">
        <f>BF14-BE14</f>
        <v>0</v>
      </c>
      <c r="BK14" s="1146"/>
      <c r="BL14" s="1146"/>
      <c r="BM14" s="1142">
        <f>SUM(BK14+BL14)</f>
        <v>0</v>
      </c>
      <c r="BN14" s="1142">
        <f>BK14-BJ14</f>
        <v>0</v>
      </c>
      <c r="BP14" s="1146"/>
      <c r="BQ14" s="1146"/>
      <c r="BR14" s="1142">
        <f>SUM(BP14+BQ14)</f>
        <v>0</v>
      </c>
      <c r="BS14" s="1144">
        <f>BP14-BO14</f>
        <v>0</v>
      </c>
      <c r="BU14" s="1146"/>
      <c r="BV14" s="1146"/>
      <c r="BW14" s="1142">
        <f>SUM(BU14+BV14)</f>
        <v>0</v>
      </c>
      <c r="BX14" s="1144">
        <f>BU14-BT14</f>
        <v>0</v>
      </c>
      <c r="BZ14" s="1146"/>
      <c r="CA14" s="1146"/>
      <c r="CB14" s="1142">
        <f>SUM(BZ14+CA14)</f>
        <v>0</v>
      </c>
      <c r="CC14" s="1144">
        <f>BZ14-BY14</f>
        <v>0</v>
      </c>
      <c r="CE14" s="1146"/>
      <c r="CF14" s="1146"/>
      <c r="CG14" s="1142">
        <f>SUM(CE14+CF14)</f>
        <v>0</v>
      </c>
      <c r="CH14" s="1144">
        <f>CE14-CD14</f>
        <v>0</v>
      </c>
      <c r="CJ14" s="1146"/>
      <c r="CK14" s="1146"/>
      <c r="CL14" s="1142">
        <f>SUM(CJ14+CK14)</f>
        <v>0</v>
      </c>
      <c r="CM14" s="1144">
        <f>CJ14-CI14</f>
        <v>0</v>
      </c>
      <c r="CO14" s="1146"/>
      <c r="CP14" s="1146"/>
      <c r="CQ14" s="1142">
        <f>SUM(CO14+CP14)</f>
        <v>0</v>
      </c>
      <c r="CR14" s="1144">
        <f>CO14-CN14</f>
        <v>0</v>
      </c>
      <c r="CT14" s="1146"/>
      <c r="CU14" s="1146"/>
      <c r="CV14" s="1142">
        <f>SUM(CT14+CU14)</f>
        <v>0</v>
      </c>
      <c r="CW14" s="1144">
        <f>CT14-CS14</f>
        <v>0</v>
      </c>
      <c r="CX14" s="1144"/>
      <c r="CY14" s="1144"/>
      <c r="CZ14" s="1144"/>
      <c r="DA14" s="1144">
        <v>0</v>
      </c>
      <c r="DB14" s="1144"/>
      <c r="DC14" s="1148">
        <f t="shared" si="4"/>
        <v>0</v>
      </c>
      <c r="DD14" s="1148">
        <f t="shared" si="4"/>
        <v>0</v>
      </c>
      <c r="DE14" s="1148">
        <f t="shared" si="4"/>
        <v>0</v>
      </c>
      <c r="DF14" s="1143">
        <f>SUM(DD14+DE14)</f>
        <v>0</v>
      </c>
      <c r="DG14" s="1143">
        <f>DD14-DC14</f>
        <v>0</v>
      </c>
      <c r="DH14" s="1143"/>
      <c r="DK14" s="1142">
        <f>SUM(DI14+DJ14)</f>
        <v>0</v>
      </c>
      <c r="DL14" s="1142">
        <f>DI14-DH14</f>
        <v>0</v>
      </c>
      <c r="DM14" s="1149">
        <f t="shared" si="5"/>
        <v>0</v>
      </c>
      <c r="DN14" s="1149">
        <f t="shared" si="5"/>
        <v>0</v>
      </c>
      <c r="DO14" s="1149">
        <f t="shared" si="5"/>
        <v>0</v>
      </c>
      <c r="DP14" s="1143">
        <f>SUM(DN14+DO14)</f>
        <v>0</v>
      </c>
      <c r="DQ14" s="1143">
        <f>DN14-DM14</f>
        <v>0</v>
      </c>
    </row>
    <row r="15" spans="1:123" s="866" customFormat="1" ht="7.5" customHeight="1">
      <c r="A15" s="858"/>
      <c r="B15" s="858"/>
      <c r="C15" s="859"/>
      <c r="D15" s="859"/>
      <c r="H15" s="859"/>
      <c r="I15" s="859"/>
      <c r="M15" s="859"/>
      <c r="N15" s="859"/>
      <c r="R15" s="859"/>
      <c r="S15" s="859"/>
      <c r="X15" s="859"/>
      <c r="AB15" s="859"/>
      <c r="AC15" s="859"/>
      <c r="AG15" s="859"/>
      <c r="AH15" s="859"/>
      <c r="AL15" s="859"/>
      <c r="AM15" s="859"/>
      <c r="AV15" s="859"/>
      <c r="AW15" s="859"/>
      <c r="BF15" s="1139"/>
      <c r="BG15" s="1139"/>
      <c r="BH15" s="1140"/>
      <c r="BI15" s="1140"/>
      <c r="BK15" s="859"/>
      <c r="BL15" s="859"/>
      <c r="BP15" s="859"/>
      <c r="BQ15" s="859"/>
      <c r="BU15" s="859"/>
      <c r="BV15" s="859"/>
      <c r="BZ15" s="859"/>
      <c r="CA15" s="859"/>
      <c r="CE15" s="859"/>
      <c r="CF15" s="859"/>
      <c r="CJ15" s="859"/>
      <c r="CK15" s="859"/>
      <c r="CO15" s="859"/>
      <c r="CP15" s="859"/>
      <c r="CT15" s="859"/>
      <c r="CU15" s="859"/>
      <c r="DC15" s="1140"/>
      <c r="DD15" s="1139"/>
      <c r="DE15" s="1139"/>
      <c r="DF15" s="1140"/>
      <c r="DG15" s="1140"/>
      <c r="DH15" s="1140"/>
      <c r="DM15" s="1141"/>
      <c r="DN15" s="1141"/>
      <c r="DO15" s="1141"/>
      <c r="DP15" s="1140"/>
      <c r="DQ15" s="1140"/>
      <c r="DR15" s="632"/>
      <c r="DS15" s="632"/>
    </row>
    <row r="16" spans="1:123" ht="15" customHeight="1">
      <c r="A16" s="956" t="s">
        <v>832</v>
      </c>
      <c r="B16" s="956"/>
      <c r="C16" s="632"/>
      <c r="D16" s="897"/>
      <c r="E16" s="632"/>
      <c r="F16" s="632"/>
      <c r="G16" s="632"/>
      <c r="H16" s="632"/>
      <c r="I16" s="897"/>
      <c r="J16" s="632"/>
      <c r="K16" s="632"/>
      <c r="L16" s="632"/>
      <c r="M16" s="632"/>
      <c r="N16" s="897"/>
      <c r="O16" s="632"/>
      <c r="P16" s="632"/>
      <c r="Q16" s="632"/>
      <c r="R16" s="632"/>
      <c r="S16" s="897"/>
      <c r="T16" s="632"/>
      <c r="U16" s="632"/>
      <c r="V16" s="632"/>
      <c r="W16" s="632"/>
      <c r="X16" s="897"/>
      <c r="Y16" s="632"/>
      <c r="Z16" s="632"/>
      <c r="AA16" s="632"/>
      <c r="AB16" s="632"/>
      <c r="AC16" s="897"/>
      <c r="AD16" s="632"/>
      <c r="AE16" s="632"/>
      <c r="AF16" s="632"/>
      <c r="AG16" s="632"/>
      <c r="AH16" s="897"/>
      <c r="AI16" s="632"/>
      <c r="AJ16" s="632"/>
      <c r="AK16" s="632"/>
      <c r="AL16" s="632"/>
      <c r="AM16" s="897"/>
      <c r="AN16" s="632"/>
      <c r="AO16" s="632"/>
      <c r="AP16" s="632"/>
      <c r="AQ16" s="632"/>
      <c r="AR16" s="632"/>
      <c r="AS16" s="632"/>
      <c r="AT16" s="632"/>
      <c r="AU16" s="632"/>
      <c r="AV16" s="632"/>
      <c r="AW16" s="897"/>
      <c r="AX16" s="632"/>
      <c r="AY16" s="632"/>
      <c r="AZ16" s="632"/>
      <c r="BA16" s="632"/>
      <c r="BB16" s="632"/>
      <c r="BC16" s="632"/>
      <c r="BD16" s="632"/>
      <c r="BE16" s="632"/>
      <c r="BF16" s="1150"/>
      <c r="BG16" s="1151"/>
      <c r="BH16" s="1150"/>
      <c r="BI16" s="1150"/>
      <c r="BJ16" s="632"/>
      <c r="BK16" s="632"/>
      <c r="BL16" s="897"/>
      <c r="BM16" s="632"/>
      <c r="BN16" s="632"/>
      <c r="BO16" s="632"/>
      <c r="BP16" s="632"/>
      <c r="BQ16" s="897"/>
      <c r="BR16" s="632"/>
      <c r="BS16" s="632"/>
      <c r="BT16" s="632"/>
      <c r="BU16" s="632"/>
      <c r="BV16" s="897"/>
      <c r="BW16" s="632"/>
      <c r="BX16" s="632"/>
      <c r="BY16" s="632"/>
      <c r="BZ16" s="632"/>
      <c r="CA16" s="897"/>
      <c r="CB16" s="632"/>
      <c r="CC16" s="632"/>
      <c r="CD16" s="632"/>
      <c r="CE16" s="632"/>
      <c r="CF16" s="897"/>
      <c r="CG16" s="632"/>
      <c r="CH16" s="632"/>
      <c r="CI16" s="632"/>
      <c r="CJ16" s="632"/>
      <c r="CK16" s="897"/>
      <c r="CL16" s="632"/>
      <c r="CM16" s="632"/>
      <c r="CN16" s="632"/>
      <c r="CO16" s="632"/>
      <c r="CP16" s="897"/>
      <c r="CQ16" s="632"/>
      <c r="CR16" s="632"/>
      <c r="CS16" s="632"/>
      <c r="CT16" s="632"/>
      <c r="CU16" s="897"/>
      <c r="CV16" s="632"/>
      <c r="CW16" s="632"/>
      <c r="CX16" s="632"/>
      <c r="CY16" s="632"/>
      <c r="CZ16" s="632"/>
      <c r="DA16" s="632"/>
      <c r="DB16" s="632"/>
      <c r="DC16" s="1150"/>
      <c r="DD16" s="1150"/>
      <c r="DE16" s="1151"/>
      <c r="DF16" s="1150"/>
      <c r="DG16" s="1150"/>
      <c r="DH16" s="1150"/>
      <c r="DI16" s="632"/>
      <c r="DJ16" s="632"/>
      <c r="DK16" s="632"/>
      <c r="DL16" s="632"/>
      <c r="DM16" s="1150"/>
      <c r="DN16" s="1150"/>
      <c r="DO16" s="1150"/>
      <c r="DP16" s="1150"/>
    </row>
    <row r="17" spans="1:121" ht="15" hidden="1" customHeight="1">
      <c r="A17" s="380" t="s">
        <v>11</v>
      </c>
      <c r="B17" s="380"/>
      <c r="C17" s="1153"/>
      <c r="D17" s="1153"/>
      <c r="E17" s="943">
        <f>SUM(C17+D17)</f>
        <v>0</v>
      </c>
      <c r="F17" s="943"/>
      <c r="G17" s="943"/>
      <c r="H17" s="1153"/>
      <c r="I17" s="1153"/>
      <c r="J17" s="943">
        <f>SUM(H17+I17)</f>
        <v>0</v>
      </c>
      <c r="K17" s="943"/>
      <c r="L17" s="943"/>
      <c r="M17" s="1153"/>
      <c r="N17" s="1153"/>
      <c r="O17" s="943">
        <f>SUM(M17+N17)</f>
        <v>0</v>
      </c>
      <c r="P17" s="943"/>
      <c r="Q17" s="943"/>
      <c r="R17" s="1153"/>
      <c r="S17" s="1153"/>
      <c r="T17" s="943">
        <f>SUM(R17+S17)</f>
        <v>0</v>
      </c>
      <c r="U17" s="943"/>
      <c r="V17" s="943"/>
      <c r="W17" s="943"/>
      <c r="X17" s="1153"/>
      <c r="Y17" s="943">
        <f>SUM(W17+X17)</f>
        <v>0</v>
      </c>
      <c r="Z17" s="943"/>
      <c r="AA17" s="943"/>
      <c r="AB17" s="1153"/>
      <c r="AC17" s="1153"/>
      <c r="AD17" s="943">
        <f>SUM(AB17+AC17)</f>
        <v>0</v>
      </c>
      <c r="AE17" s="943"/>
      <c r="AF17" s="943"/>
      <c r="AG17" s="1153"/>
      <c r="AH17" s="1153"/>
      <c r="AI17" s="943">
        <f>SUM(AG17+AH17)</f>
        <v>0</v>
      </c>
      <c r="AJ17" s="943"/>
      <c r="AK17" s="943"/>
      <c r="AL17" s="1153"/>
      <c r="AM17" s="1153"/>
      <c r="AN17" s="943">
        <f>SUM(AL17+AM17)</f>
        <v>0</v>
      </c>
      <c r="AO17" s="943"/>
      <c r="AP17" s="943"/>
      <c r="AQ17" s="943"/>
      <c r="AR17" s="943"/>
      <c r="AS17" s="943">
        <f>SUM(AQ17+AR17)</f>
        <v>0</v>
      </c>
      <c r="AT17" s="943"/>
      <c r="AU17" s="943"/>
      <c r="AV17" s="1153"/>
      <c r="AW17" s="1153"/>
      <c r="AX17" s="943">
        <f>SUM(AV17+AW17)</f>
        <v>0</v>
      </c>
      <c r="AY17" s="943"/>
      <c r="AZ17" s="943"/>
      <c r="BA17" s="943"/>
      <c r="BB17" s="943"/>
      <c r="BC17" s="943">
        <f>SUM(BA17+BB17)</f>
        <v>0</v>
      </c>
      <c r="BD17" s="943"/>
      <c r="BE17" s="943"/>
      <c r="BF17" s="1160"/>
      <c r="BG17" s="1160"/>
      <c r="BH17" s="1141">
        <f>SUM(BF17+BG17)</f>
        <v>0</v>
      </c>
      <c r="BI17" s="1141"/>
      <c r="BJ17" s="943"/>
      <c r="BK17" s="1153"/>
      <c r="BL17" s="1153"/>
      <c r="BM17" s="943">
        <f>SUM(BK17+BL17)</f>
        <v>0</v>
      </c>
      <c r="BN17" s="943"/>
      <c r="BO17" s="943"/>
      <c r="BP17" s="1153"/>
      <c r="BQ17" s="1153"/>
      <c r="BR17" s="943">
        <f>SUM(BP17+BQ17)</f>
        <v>0</v>
      </c>
      <c r="BS17" s="943"/>
      <c r="BT17" s="943"/>
      <c r="BU17" s="1153"/>
      <c r="BV17" s="1153"/>
      <c r="BW17" s="943">
        <f>SUM(BU17+BV17)</f>
        <v>0</v>
      </c>
      <c r="BX17" s="943"/>
      <c r="BY17" s="943"/>
      <c r="BZ17" s="1153">
        <v>0</v>
      </c>
      <c r="CA17" s="1153"/>
      <c r="CB17" s="943">
        <f>SUM(BZ17+CA17)</f>
        <v>0</v>
      </c>
      <c r="CC17" s="943"/>
      <c r="CD17" s="943"/>
      <c r="CE17" s="1153">
        <v>0</v>
      </c>
      <c r="CF17" s="1153"/>
      <c r="CG17" s="943">
        <f>SUM(CE17+CF17)</f>
        <v>0</v>
      </c>
      <c r="CH17" s="943"/>
      <c r="CI17" s="943"/>
      <c r="CJ17" s="1153">
        <v>0</v>
      </c>
      <c r="CK17" s="1153"/>
      <c r="CL17" s="943">
        <f>SUM(CJ17+CK17)</f>
        <v>0</v>
      </c>
      <c r="CM17" s="943"/>
      <c r="CN17" s="943"/>
      <c r="CO17" s="1153">
        <v>0</v>
      </c>
      <c r="CP17" s="1153"/>
      <c r="CQ17" s="943">
        <f>SUM(CO17+CP17)</f>
        <v>0</v>
      </c>
      <c r="CR17" s="943"/>
      <c r="CS17" s="943"/>
      <c r="CT17" s="1153">
        <v>0</v>
      </c>
      <c r="CU17" s="1153"/>
      <c r="CV17" s="943">
        <f>SUM(CT17+CU17)</f>
        <v>0</v>
      </c>
      <c r="CW17" s="943"/>
      <c r="CX17" s="943"/>
      <c r="CY17" s="943"/>
      <c r="CZ17" s="943"/>
      <c r="DA17" s="943"/>
      <c r="DB17" s="943"/>
      <c r="DC17" s="1141"/>
      <c r="DD17" s="1160"/>
      <c r="DE17" s="1160"/>
      <c r="DF17" s="1141">
        <f>SUM(DD17+DE17)</f>
        <v>0</v>
      </c>
      <c r="DG17" s="1141"/>
      <c r="DH17" s="1141"/>
      <c r="DI17" s="943"/>
      <c r="DJ17" s="943"/>
      <c r="DK17" s="943">
        <f>SUM(DI17+DJ17)</f>
        <v>0</v>
      </c>
      <c r="DL17" s="943"/>
      <c r="DM17" s="1141">
        <f>BE17+DC17</f>
        <v>0</v>
      </c>
      <c r="DN17" s="1141">
        <f>BF17+DD17</f>
        <v>0</v>
      </c>
      <c r="DO17" s="1141">
        <f>BG17+DE17</f>
        <v>0</v>
      </c>
      <c r="DP17" s="1141">
        <f>SUM(DN17+DO17)</f>
        <v>0</v>
      </c>
    </row>
    <row r="18" spans="1:121" ht="15" customHeight="1">
      <c r="A18" s="380" t="s">
        <v>701</v>
      </c>
      <c r="B18" s="1153"/>
      <c r="C18" s="1153"/>
      <c r="D18" s="1153"/>
      <c r="E18" s="943">
        <f>SUM(C18+D18)</f>
        <v>0</v>
      </c>
      <c r="F18" s="943"/>
      <c r="G18" s="943"/>
      <c r="H18" s="1153"/>
      <c r="I18" s="1153"/>
      <c r="J18" s="943">
        <f>SUM(H18+I18)</f>
        <v>0</v>
      </c>
      <c r="K18" s="943"/>
      <c r="L18" s="943"/>
      <c r="M18" s="1153"/>
      <c r="N18" s="1153"/>
      <c r="O18" s="943">
        <f>SUM(M18+N18)</f>
        <v>0</v>
      </c>
      <c r="P18" s="943"/>
      <c r="Q18" s="943"/>
      <c r="R18" s="1153"/>
      <c r="S18" s="1153"/>
      <c r="T18" s="943">
        <f>SUM(R18+S18)</f>
        <v>0</v>
      </c>
      <c r="U18" s="943"/>
      <c r="V18" s="943"/>
      <c r="W18" s="943"/>
      <c r="X18" s="1153"/>
      <c r="Y18" s="943">
        <f>SUM(W18+X18)</f>
        <v>0</v>
      </c>
      <c r="Z18" s="943"/>
      <c r="AA18" s="943"/>
      <c r="AB18" s="1153"/>
      <c r="AC18" s="1153"/>
      <c r="AD18" s="943">
        <f>SUM(AB18+AC18)</f>
        <v>0</v>
      </c>
      <c r="AE18" s="943">
        <f>AB18-AA18</f>
        <v>0</v>
      </c>
      <c r="AF18" s="943"/>
      <c r="AG18" s="1153"/>
      <c r="AH18" s="1153"/>
      <c r="AI18" s="943">
        <f>SUM(AG18+AH18)</f>
        <v>0</v>
      </c>
      <c r="AJ18" s="943">
        <f>AG18-AF18</f>
        <v>0</v>
      </c>
      <c r="AK18" s="943"/>
      <c r="AL18" s="1153"/>
      <c r="AM18" s="1153"/>
      <c r="AN18" s="943">
        <f>SUM(AL18+AM18)</f>
        <v>0</v>
      </c>
      <c r="AO18" s="943">
        <f>AL18-AK18</f>
        <v>0</v>
      </c>
      <c r="AP18" s="943"/>
      <c r="AQ18" s="943"/>
      <c r="AR18" s="943"/>
      <c r="AS18" s="943">
        <f>SUM(AQ18+AR18)</f>
        <v>0</v>
      </c>
      <c r="AT18" s="943">
        <f>AQ18-AP18</f>
        <v>0</v>
      </c>
      <c r="AU18" s="943"/>
      <c r="AV18" s="1153"/>
      <c r="AW18" s="1153"/>
      <c r="AX18" s="943">
        <f>SUM(AV18+AW18)</f>
        <v>0</v>
      </c>
      <c r="AY18" s="943">
        <f>AV18-AU18</f>
        <v>0</v>
      </c>
      <c r="AZ18" s="943"/>
      <c r="BA18" s="943"/>
      <c r="BB18" s="943"/>
      <c r="BC18" s="943">
        <f>SUM(BA18+BB18)</f>
        <v>0</v>
      </c>
      <c r="BD18" s="943">
        <f>BA18-AZ18</f>
        <v>0</v>
      </c>
      <c r="BE18" s="1160">
        <f t="shared" ref="BE18:BI20" si="6">B18+G18+L18+Q18+V18+AA18+AF18+AK18+AP18+AU18+AZ18</f>
        <v>0</v>
      </c>
      <c r="BF18" s="1160">
        <f t="shared" si="6"/>
        <v>0</v>
      </c>
      <c r="BG18" s="1160">
        <f t="shared" si="6"/>
        <v>0</v>
      </c>
      <c r="BH18" s="1141">
        <f t="shared" si="6"/>
        <v>0</v>
      </c>
      <c r="BI18" s="1141">
        <f t="shared" si="6"/>
        <v>0</v>
      </c>
      <c r="BJ18" s="943"/>
      <c r="BK18" s="1153"/>
      <c r="BL18" s="1153"/>
      <c r="BM18" s="943">
        <f>SUM(BK18+BL18)</f>
        <v>0</v>
      </c>
      <c r="BN18" s="943"/>
      <c r="BO18" s="943"/>
      <c r="BP18" s="1153"/>
      <c r="BQ18" s="1153"/>
      <c r="BR18" s="943">
        <f>SUM(BP18+BQ18)</f>
        <v>0</v>
      </c>
      <c r="BS18" s="943">
        <f>BP18-BO18</f>
        <v>0</v>
      </c>
      <c r="BT18" s="943"/>
      <c r="BU18" s="1153"/>
      <c r="BV18" s="1153"/>
      <c r="BW18" s="943">
        <f>SUM(BU18+BV18)</f>
        <v>0</v>
      </c>
      <c r="BX18" s="943"/>
      <c r="BY18" s="943"/>
      <c r="BZ18" s="1153"/>
      <c r="CA18" s="1153"/>
      <c r="CB18" s="943">
        <f>SUM(BZ18+CA18)</f>
        <v>0</v>
      </c>
      <c r="CC18" s="943"/>
      <c r="CD18" s="943"/>
      <c r="CE18" s="1153"/>
      <c r="CF18" s="1153"/>
      <c r="CG18" s="943">
        <f>SUM(CE18+CF18)</f>
        <v>0</v>
      </c>
      <c r="CH18" s="943">
        <f>CE18-CD18</f>
        <v>0</v>
      </c>
      <c r="CI18" s="943"/>
      <c r="CJ18" s="1153"/>
      <c r="CK18" s="1153"/>
      <c r="CL18" s="943">
        <f>SUM(CJ18+CK18)</f>
        <v>0</v>
      </c>
      <c r="CM18" s="943"/>
      <c r="CN18" s="943"/>
      <c r="CO18" s="1153"/>
      <c r="CP18" s="1153"/>
      <c r="CQ18" s="943">
        <f>SUM(CO18+CP18)</f>
        <v>0</v>
      </c>
      <c r="CR18" s="943">
        <f>CO18-CN18</f>
        <v>0</v>
      </c>
      <c r="CS18" s="943"/>
      <c r="CT18" s="1153">
        <v>0</v>
      </c>
      <c r="CU18" s="1153"/>
      <c r="CV18" s="943">
        <f>SUM(CT18+CU18)</f>
        <v>0</v>
      </c>
      <c r="CW18" s="943">
        <f>CT18-CS18</f>
        <v>0</v>
      </c>
      <c r="CX18" s="943"/>
      <c r="CY18" s="943"/>
      <c r="CZ18" s="943"/>
      <c r="DA18" s="943">
        <v>0</v>
      </c>
      <c r="DB18" s="943"/>
      <c r="DC18" s="1160">
        <f t="shared" ref="DC18:DC33" si="7">BJ18+BO18+BT18+BY18+CD18+CI18+CN18+CS18</f>
        <v>0</v>
      </c>
      <c r="DD18" s="1160">
        <f t="shared" ref="DD18:DD33" si="8">BK18+BP18+BU18+BZ18+CE18+CJ18+CO18+CT18</f>
        <v>0</v>
      </c>
      <c r="DE18" s="1160">
        <f t="shared" ref="DE18:DE33" si="9">BL18+BQ18+BV18+CA18+CF18+CK18+CP18+CU18</f>
        <v>0</v>
      </c>
      <c r="DF18" s="1141">
        <f t="shared" ref="DF18:DG33" si="10">BM18+BR18+BW18+CB18+CG18+CL18+CQ18+CV18</f>
        <v>0</v>
      </c>
      <c r="DG18" s="1141">
        <f t="shared" si="10"/>
        <v>0</v>
      </c>
      <c r="DH18" s="1141"/>
      <c r="DI18" s="943"/>
      <c r="DJ18" s="943"/>
      <c r="DK18" s="943">
        <f>SUM(DI18+DJ18)</f>
        <v>0</v>
      </c>
      <c r="DL18" s="943"/>
      <c r="DM18" s="1141">
        <f t="shared" ref="DM18:DM33" si="11">BE18+DC18+DH18</f>
        <v>0</v>
      </c>
      <c r="DN18" s="1141">
        <f t="shared" ref="DN18:DN33" si="12">BF18+DD18+DI18</f>
        <v>0</v>
      </c>
      <c r="DO18" s="1141">
        <f t="shared" ref="DO18:DO33" si="13">BG18+DE18+DJ18</f>
        <v>0</v>
      </c>
      <c r="DP18" s="1141">
        <f t="shared" ref="DP18:DQ33" si="14">BH18+DF18+DK18</f>
        <v>0</v>
      </c>
      <c r="DQ18" s="1141">
        <f t="shared" si="14"/>
        <v>0</v>
      </c>
    </row>
    <row r="19" spans="1:121" ht="15" customHeight="1">
      <c r="A19" s="380" t="s">
        <v>702</v>
      </c>
      <c r="B19" s="1153"/>
      <c r="C19" s="1153"/>
      <c r="D19" s="1153"/>
      <c r="E19" s="943">
        <f>SUM(C19+D19)</f>
        <v>0</v>
      </c>
      <c r="F19" s="943"/>
      <c r="G19" s="943"/>
      <c r="H19" s="1153"/>
      <c r="I19" s="1153"/>
      <c r="J19" s="943">
        <f>SUM(H19+I19)</f>
        <v>0</v>
      </c>
      <c r="K19" s="943"/>
      <c r="L19" s="943"/>
      <c r="M19" s="1153"/>
      <c r="N19" s="1153"/>
      <c r="O19" s="943">
        <f>SUM(M19+N19)</f>
        <v>0</v>
      </c>
      <c r="P19" s="943"/>
      <c r="Q19" s="943"/>
      <c r="R19" s="1153"/>
      <c r="S19" s="1153"/>
      <c r="T19" s="943">
        <f>SUM(R19+S19)</f>
        <v>0</v>
      </c>
      <c r="U19" s="943"/>
      <c r="V19" s="943"/>
      <c r="W19" s="1153"/>
      <c r="X19" s="1153"/>
      <c r="Y19" s="943">
        <f>SUM(W19+X19)</f>
        <v>0</v>
      </c>
      <c r="Z19" s="943"/>
      <c r="AA19" s="1153"/>
      <c r="AB19" s="1153"/>
      <c r="AC19" s="1153"/>
      <c r="AD19" s="943">
        <f>SUM(AB19+AC19)</f>
        <v>0</v>
      </c>
      <c r="AE19" s="943">
        <f>AB19-AA19</f>
        <v>0</v>
      </c>
      <c r="AF19" s="943"/>
      <c r="AG19" s="1153"/>
      <c r="AH19" s="1153"/>
      <c r="AI19" s="943">
        <f>SUM(AG19+AH19)</f>
        <v>0</v>
      </c>
      <c r="AJ19" s="943">
        <f>AG19-AF19</f>
        <v>0</v>
      </c>
      <c r="AK19" s="943"/>
      <c r="AL19" s="1153"/>
      <c r="AM19" s="1153"/>
      <c r="AN19" s="943">
        <f>SUM(AL19+AM19)</f>
        <v>0</v>
      </c>
      <c r="AO19" s="943">
        <f>AL19-AK19</f>
        <v>0</v>
      </c>
      <c r="AP19" s="943"/>
      <c r="AQ19" s="943"/>
      <c r="AR19" s="943"/>
      <c r="AS19" s="943">
        <f>SUM(AQ19+AR19)</f>
        <v>0</v>
      </c>
      <c r="AT19" s="943">
        <f>AQ19-AP19</f>
        <v>0</v>
      </c>
      <c r="AU19" s="943"/>
      <c r="AV19" s="1153"/>
      <c r="AW19" s="1153"/>
      <c r="AX19" s="943">
        <f>SUM(AV19+AW19)</f>
        <v>0</v>
      </c>
      <c r="AY19" s="943">
        <f>AV19-AU19</f>
        <v>0</v>
      </c>
      <c r="AZ19" s="943"/>
      <c r="BA19" s="943"/>
      <c r="BB19" s="943"/>
      <c r="BC19" s="943">
        <f>SUM(BA19+BB19)</f>
        <v>0</v>
      </c>
      <c r="BD19" s="943">
        <f>BA19-AZ19</f>
        <v>0</v>
      </c>
      <c r="BE19" s="1160">
        <f t="shared" si="6"/>
        <v>0</v>
      </c>
      <c r="BF19" s="1160">
        <f t="shared" si="6"/>
        <v>0</v>
      </c>
      <c r="BG19" s="1160">
        <f t="shared" si="6"/>
        <v>0</v>
      </c>
      <c r="BH19" s="1141">
        <f t="shared" si="6"/>
        <v>0</v>
      </c>
      <c r="BI19" s="1141">
        <f t="shared" si="6"/>
        <v>0</v>
      </c>
      <c r="BJ19" s="943"/>
      <c r="BK19" s="1153"/>
      <c r="BL19" s="1153"/>
      <c r="BM19" s="943">
        <f>SUM(BK19+BL19)</f>
        <v>0</v>
      </c>
      <c r="BN19" s="943"/>
      <c r="BO19" s="943"/>
      <c r="BP19" s="1153"/>
      <c r="BQ19" s="1153"/>
      <c r="BR19" s="943">
        <f>SUM(BP19+BQ19)</f>
        <v>0</v>
      </c>
      <c r="BS19" s="943">
        <f>BP19-BO19</f>
        <v>0</v>
      </c>
      <c r="BT19" s="943"/>
      <c r="BU19" s="1153"/>
      <c r="BV19" s="1153"/>
      <c r="BW19" s="943">
        <f>SUM(BU19+BV19)</f>
        <v>0</v>
      </c>
      <c r="BX19" s="943"/>
      <c r="BY19" s="943"/>
      <c r="BZ19" s="1153"/>
      <c r="CA19" s="1153"/>
      <c r="CB19" s="943">
        <f>SUM(BZ19+CA19)</f>
        <v>0</v>
      </c>
      <c r="CC19" s="943"/>
      <c r="CD19" s="943"/>
      <c r="CE19" s="1153"/>
      <c r="CF19" s="1153"/>
      <c r="CG19" s="943">
        <f>SUM(CE19+CF19)</f>
        <v>0</v>
      </c>
      <c r="CH19" s="943">
        <f>CE19-CD19</f>
        <v>0</v>
      </c>
      <c r="CI19" s="943"/>
      <c r="CJ19" s="1153"/>
      <c r="CK19" s="1153"/>
      <c r="CL19" s="943">
        <f>SUM(CJ19+CK19)</f>
        <v>0</v>
      </c>
      <c r="CM19" s="943"/>
      <c r="CN19" s="943"/>
      <c r="CO19" s="1153"/>
      <c r="CP19" s="1153"/>
      <c r="CQ19" s="943">
        <f>SUM(CO19+CP19)</f>
        <v>0</v>
      </c>
      <c r="CR19" s="943">
        <f>CO19-CN19</f>
        <v>0</v>
      </c>
      <c r="CS19" s="943"/>
      <c r="CT19" s="1153"/>
      <c r="CU19" s="1153"/>
      <c r="CV19" s="943">
        <f>SUM(CT19+CU19)</f>
        <v>0</v>
      </c>
      <c r="CW19" s="943">
        <f>CT19-CS19</f>
        <v>0</v>
      </c>
      <c r="CX19" s="943"/>
      <c r="CY19" s="943"/>
      <c r="CZ19" s="943"/>
      <c r="DA19" s="943">
        <v>0</v>
      </c>
      <c r="DB19" s="943"/>
      <c r="DC19" s="1160">
        <f t="shared" si="7"/>
        <v>0</v>
      </c>
      <c r="DD19" s="1160">
        <f t="shared" si="8"/>
        <v>0</v>
      </c>
      <c r="DE19" s="1160">
        <f t="shared" si="9"/>
        <v>0</v>
      </c>
      <c r="DF19" s="1141">
        <f t="shared" si="10"/>
        <v>0</v>
      </c>
      <c r="DG19" s="1141">
        <f t="shared" si="10"/>
        <v>0</v>
      </c>
      <c r="DH19" s="943"/>
      <c r="DI19" s="943">
        <v>3000000</v>
      </c>
      <c r="DJ19" s="943"/>
      <c r="DK19" s="943">
        <f>SUM(DI19+DJ19)</f>
        <v>3000000</v>
      </c>
      <c r="DL19" s="943">
        <f>1750000+100187</f>
        <v>1850187</v>
      </c>
      <c r="DM19" s="1141">
        <f t="shared" si="11"/>
        <v>0</v>
      </c>
      <c r="DN19" s="1141">
        <f t="shared" si="12"/>
        <v>3000000</v>
      </c>
      <c r="DO19" s="1141">
        <f t="shared" si="13"/>
        <v>0</v>
      </c>
      <c r="DP19" s="1141">
        <f t="shared" si="14"/>
        <v>3000000</v>
      </c>
      <c r="DQ19" s="1141">
        <f t="shared" si="14"/>
        <v>1850187</v>
      </c>
    </row>
    <row r="20" spans="1:121">
      <c r="A20" s="919" t="s">
        <v>703</v>
      </c>
      <c r="B20" s="1153"/>
      <c r="C20" s="1153"/>
      <c r="D20" s="1153"/>
      <c r="E20" s="943">
        <f>SUM(C20+D20)</f>
        <v>0</v>
      </c>
      <c r="F20" s="943"/>
      <c r="G20" s="943"/>
      <c r="H20" s="1153"/>
      <c r="I20" s="1153"/>
      <c r="J20" s="943">
        <f>SUM(H20+I20)</f>
        <v>0</v>
      </c>
      <c r="K20" s="943"/>
      <c r="L20" s="943"/>
      <c r="M20" s="1153"/>
      <c r="N20" s="1153"/>
      <c r="O20" s="943">
        <f>SUM(M20+N20)</f>
        <v>0</v>
      </c>
      <c r="P20" s="943"/>
      <c r="Q20" s="943"/>
      <c r="R20" s="1153"/>
      <c r="S20" s="1153"/>
      <c r="T20" s="943">
        <f>SUM(R20+S20)</f>
        <v>0</v>
      </c>
      <c r="U20" s="943"/>
      <c r="V20" s="943"/>
      <c r="W20" s="1153"/>
      <c r="X20" s="1153"/>
      <c r="Y20" s="943">
        <f>SUM(W20+X20)</f>
        <v>0</v>
      </c>
      <c r="Z20" s="943"/>
      <c r="AA20" s="1153"/>
      <c r="AB20" s="1153"/>
      <c r="AC20" s="1153"/>
      <c r="AD20" s="943">
        <f>SUM(AB20+AC20)</f>
        <v>0</v>
      </c>
      <c r="AE20" s="943">
        <f>AB20-AA20</f>
        <v>0</v>
      </c>
      <c r="AF20" s="943"/>
      <c r="AG20" s="1153"/>
      <c r="AH20" s="1153"/>
      <c r="AI20" s="943">
        <f>SUM(AG20+AH20)</f>
        <v>0</v>
      </c>
      <c r="AJ20" s="943">
        <f>AG20-AF20</f>
        <v>0</v>
      </c>
      <c r="AK20" s="943"/>
      <c r="AL20" s="1153"/>
      <c r="AM20" s="1153"/>
      <c r="AN20" s="943">
        <f>SUM(AL20+AM20)</f>
        <v>0</v>
      </c>
      <c r="AO20" s="943">
        <f>AL20-AK20</f>
        <v>0</v>
      </c>
      <c r="AP20" s="943"/>
      <c r="AQ20" s="943"/>
      <c r="AR20" s="943"/>
      <c r="AS20" s="943">
        <f>SUM(AQ20+AR20)</f>
        <v>0</v>
      </c>
      <c r="AT20" s="943">
        <f>AQ20-AP20</f>
        <v>0</v>
      </c>
      <c r="AU20" s="943"/>
      <c r="AV20" s="1153"/>
      <c r="AW20" s="1153"/>
      <c r="AX20" s="943">
        <f>SUM(AV20+AW20)</f>
        <v>0</v>
      </c>
      <c r="AY20" s="943">
        <f>AV20-AU20</f>
        <v>0</v>
      </c>
      <c r="AZ20" s="943"/>
      <c r="BA20" s="943"/>
      <c r="BB20" s="943"/>
      <c r="BC20" s="943">
        <f>SUM(BA20+BB20)</f>
        <v>0</v>
      </c>
      <c r="BD20" s="943">
        <f>BA20-AZ20</f>
        <v>0</v>
      </c>
      <c r="BE20" s="1160">
        <f t="shared" si="6"/>
        <v>0</v>
      </c>
      <c r="BF20" s="1160">
        <f t="shared" si="6"/>
        <v>0</v>
      </c>
      <c r="BG20" s="1160">
        <f t="shared" si="6"/>
        <v>0</v>
      </c>
      <c r="BH20" s="1141">
        <f t="shared" si="6"/>
        <v>0</v>
      </c>
      <c r="BI20" s="1141">
        <f t="shared" si="6"/>
        <v>0</v>
      </c>
      <c r="BJ20" s="943"/>
      <c r="BK20" s="1153"/>
      <c r="BL20" s="1153"/>
      <c r="BM20" s="943">
        <f>SUM(BK20+BL20)</f>
        <v>0</v>
      </c>
      <c r="BN20" s="943"/>
      <c r="BO20" s="943"/>
      <c r="BP20" s="1153"/>
      <c r="BQ20" s="1153"/>
      <c r="BR20" s="943">
        <f>SUM(BP20+BQ20)</f>
        <v>0</v>
      </c>
      <c r="BS20" s="943">
        <f>BP20-BO20</f>
        <v>0</v>
      </c>
      <c r="BT20" s="943"/>
      <c r="BU20" s="1153"/>
      <c r="BV20" s="1153"/>
      <c r="BW20" s="943">
        <f>SUM(BU20+BV20)</f>
        <v>0</v>
      </c>
      <c r="BX20" s="943"/>
      <c r="BY20" s="943"/>
      <c r="BZ20" s="1153"/>
      <c r="CA20" s="1153"/>
      <c r="CB20" s="943">
        <f>SUM(BZ20+CA20)</f>
        <v>0</v>
      </c>
      <c r="CC20" s="943"/>
      <c r="CD20" s="943"/>
      <c r="CE20" s="1153"/>
      <c r="CF20" s="1153"/>
      <c r="CG20" s="943">
        <f>SUM(CE20+CF20)</f>
        <v>0</v>
      </c>
      <c r="CH20" s="943">
        <f>CE20-CD20</f>
        <v>0</v>
      </c>
      <c r="CI20" s="943"/>
      <c r="CJ20" s="1153"/>
      <c r="CK20" s="1153"/>
      <c r="CL20" s="943">
        <f>SUM(CJ20+CK20)</f>
        <v>0</v>
      </c>
      <c r="CM20" s="943"/>
      <c r="CN20" s="943"/>
      <c r="CO20" s="1153"/>
      <c r="CP20" s="1153"/>
      <c r="CQ20" s="943">
        <f>SUM(CO20+CP20)</f>
        <v>0</v>
      </c>
      <c r="CR20" s="943">
        <f>CO20-CN20</f>
        <v>0</v>
      </c>
      <c r="CS20" s="943"/>
      <c r="CT20" s="1153"/>
      <c r="CU20" s="1153"/>
      <c r="CV20" s="943">
        <f>SUM(CT20+CU20)</f>
        <v>0</v>
      </c>
      <c r="CW20" s="943">
        <f>CT20-CS20</f>
        <v>0</v>
      </c>
      <c r="CX20" s="943"/>
      <c r="CY20" s="943"/>
      <c r="CZ20" s="943"/>
      <c r="DA20" s="943">
        <v>0</v>
      </c>
      <c r="DB20" s="943"/>
      <c r="DC20" s="1160">
        <f t="shared" si="7"/>
        <v>0</v>
      </c>
      <c r="DD20" s="1160">
        <f t="shared" si="8"/>
        <v>0</v>
      </c>
      <c r="DE20" s="1160">
        <f t="shared" si="9"/>
        <v>0</v>
      </c>
      <c r="DF20" s="1141">
        <f t="shared" si="10"/>
        <v>0</v>
      </c>
      <c r="DG20" s="1141">
        <f t="shared" si="10"/>
        <v>0</v>
      </c>
      <c r="DH20" s="943"/>
      <c r="DI20" s="943">
        <v>729000</v>
      </c>
      <c r="DJ20" s="943"/>
      <c r="DK20" s="943">
        <f>SUM(DI20+DJ20)</f>
        <v>729000</v>
      </c>
      <c r="DL20" s="943">
        <v>425250</v>
      </c>
      <c r="DM20" s="1141">
        <f t="shared" si="11"/>
        <v>0</v>
      </c>
      <c r="DN20" s="1141">
        <f t="shared" si="12"/>
        <v>729000</v>
      </c>
      <c r="DO20" s="1141">
        <f t="shared" si="13"/>
        <v>0</v>
      </c>
      <c r="DP20" s="1141">
        <f t="shared" si="14"/>
        <v>729000</v>
      </c>
      <c r="DQ20" s="1141">
        <f t="shared" si="14"/>
        <v>425250</v>
      </c>
    </row>
    <row r="21" spans="1:121" hidden="1">
      <c r="A21" s="920" t="s">
        <v>704</v>
      </c>
      <c r="B21" s="1153"/>
      <c r="C21" s="1153"/>
      <c r="D21" s="1153"/>
      <c r="E21" s="943"/>
      <c r="F21" s="943"/>
      <c r="G21" s="943"/>
      <c r="H21" s="1153"/>
      <c r="I21" s="1153"/>
      <c r="J21" s="943"/>
      <c r="K21" s="943"/>
      <c r="L21" s="943"/>
      <c r="M21" s="1153"/>
      <c r="N21" s="1153"/>
      <c r="O21" s="943"/>
      <c r="P21" s="943"/>
      <c r="Q21" s="943"/>
      <c r="R21" s="1153"/>
      <c r="S21" s="1153"/>
      <c r="T21" s="943"/>
      <c r="U21" s="943"/>
      <c r="V21" s="943"/>
      <c r="W21" s="1153"/>
      <c r="X21" s="1153"/>
      <c r="Y21" s="943"/>
      <c r="Z21" s="943"/>
      <c r="AA21" s="1153"/>
      <c r="AB21" s="1153"/>
      <c r="AC21" s="1153"/>
      <c r="AD21" s="943"/>
      <c r="AE21" s="943"/>
      <c r="AF21" s="943"/>
      <c r="AG21" s="1153"/>
      <c r="AH21" s="1153"/>
      <c r="AI21" s="943"/>
      <c r="AJ21" s="943"/>
      <c r="AK21" s="943"/>
      <c r="AL21" s="1153"/>
      <c r="AM21" s="1153"/>
      <c r="AN21" s="943"/>
      <c r="AO21" s="943"/>
      <c r="AP21" s="943"/>
      <c r="AQ21" s="943"/>
      <c r="AR21" s="943"/>
      <c r="AS21" s="943"/>
      <c r="AT21" s="943"/>
      <c r="AU21" s="943"/>
      <c r="AV21" s="1153"/>
      <c r="AW21" s="1153"/>
      <c r="AX21" s="943"/>
      <c r="AY21" s="943"/>
      <c r="AZ21" s="943"/>
      <c r="BA21" s="943"/>
      <c r="BB21" s="943"/>
      <c r="BC21" s="943"/>
      <c r="BD21" s="943"/>
      <c r="BE21" s="1160"/>
      <c r="BF21" s="1160"/>
      <c r="BG21" s="1160"/>
      <c r="BH21" s="1141">
        <f t="shared" ref="BH21:BH33" si="15">E21+J21+O21+T21+Y21+AD21+AI21+AN21+AS21+AX21+BC21</f>
        <v>0</v>
      </c>
      <c r="BI21" s="1141">
        <f t="shared" ref="BI21:BI33" si="16">F21+K21+P21+U21+Z21+AE21+AJ21+AO21+AT21+AY21+BD21</f>
        <v>0</v>
      </c>
      <c r="BJ21" s="943"/>
      <c r="BK21" s="1153"/>
      <c r="BL21" s="1153"/>
      <c r="BM21" s="943"/>
      <c r="BN21" s="943"/>
      <c r="BO21" s="943"/>
      <c r="BP21" s="1153"/>
      <c r="BQ21" s="1153"/>
      <c r="BR21" s="943"/>
      <c r="BS21" s="943"/>
      <c r="BT21" s="943"/>
      <c r="BU21" s="1153"/>
      <c r="BV21" s="1153"/>
      <c r="BW21" s="943"/>
      <c r="BX21" s="943"/>
      <c r="BY21" s="943"/>
      <c r="BZ21" s="1153"/>
      <c r="CA21" s="1153"/>
      <c r="CB21" s="943"/>
      <c r="CC21" s="943"/>
      <c r="CD21" s="943"/>
      <c r="CE21" s="1153"/>
      <c r="CF21" s="1153"/>
      <c r="CG21" s="943"/>
      <c r="CH21" s="943"/>
      <c r="CI21" s="943"/>
      <c r="CJ21" s="1153"/>
      <c r="CK21" s="1153"/>
      <c r="CL21" s="943"/>
      <c r="CM21" s="943"/>
      <c r="CN21" s="943"/>
      <c r="CO21" s="1153"/>
      <c r="CP21" s="1153"/>
      <c r="CQ21" s="943"/>
      <c r="CR21" s="943"/>
      <c r="CS21" s="943"/>
      <c r="CT21" s="1153"/>
      <c r="CU21" s="1153"/>
      <c r="CV21" s="943"/>
      <c r="CW21" s="943"/>
      <c r="CX21" s="943"/>
      <c r="CY21" s="943"/>
      <c r="CZ21" s="943"/>
      <c r="DA21" s="943"/>
      <c r="DB21" s="943"/>
      <c r="DC21" s="1160">
        <f t="shared" si="7"/>
        <v>0</v>
      </c>
      <c r="DD21" s="1160">
        <f t="shared" si="8"/>
        <v>0</v>
      </c>
      <c r="DE21" s="1160">
        <f t="shared" si="9"/>
        <v>0</v>
      </c>
      <c r="DF21" s="1141">
        <f t="shared" si="10"/>
        <v>0</v>
      </c>
      <c r="DG21" s="1141">
        <f t="shared" si="10"/>
        <v>0</v>
      </c>
      <c r="DH21" s="943"/>
      <c r="DI21" s="943"/>
      <c r="DJ21" s="943"/>
      <c r="DK21" s="943"/>
      <c r="DL21" s="943"/>
      <c r="DM21" s="1141">
        <f t="shared" si="11"/>
        <v>0</v>
      </c>
      <c r="DN21" s="1141">
        <f t="shared" si="12"/>
        <v>0</v>
      </c>
      <c r="DO21" s="1141">
        <f t="shared" si="13"/>
        <v>0</v>
      </c>
      <c r="DP21" s="1141">
        <f t="shared" si="14"/>
        <v>0</v>
      </c>
      <c r="DQ21" s="1141">
        <f t="shared" si="14"/>
        <v>0</v>
      </c>
    </row>
    <row r="22" spans="1:121" hidden="1">
      <c r="A22" s="920" t="s">
        <v>705</v>
      </c>
      <c r="B22" s="920"/>
      <c r="C22" s="1153"/>
      <c r="D22" s="1153"/>
      <c r="E22" s="943">
        <f>SUM(C22+D22)</f>
        <v>0</v>
      </c>
      <c r="F22" s="943"/>
      <c r="G22" s="943"/>
      <c r="H22" s="1153"/>
      <c r="I22" s="1153"/>
      <c r="J22" s="943">
        <f t="shared" ref="J22:J33" si="17">SUM(H22+I22)</f>
        <v>0</v>
      </c>
      <c r="K22" s="943"/>
      <c r="L22" s="943"/>
      <c r="M22" s="1153"/>
      <c r="N22" s="1153"/>
      <c r="O22" s="943">
        <f t="shared" ref="O22:O29" si="18">SUM(M22+N22)</f>
        <v>0</v>
      </c>
      <c r="P22" s="943"/>
      <c r="Q22" s="943"/>
      <c r="R22" s="1153"/>
      <c r="S22" s="1153"/>
      <c r="T22" s="943">
        <f>SUM(R22+S22)</f>
        <v>0</v>
      </c>
      <c r="U22" s="943"/>
      <c r="V22" s="943"/>
      <c r="W22" s="943"/>
      <c r="X22" s="1153"/>
      <c r="Y22" s="943">
        <f>SUM(W22+X22)</f>
        <v>0</v>
      </c>
      <c r="Z22" s="943"/>
      <c r="AA22" s="943"/>
      <c r="AB22" s="1153"/>
      <c r="AC22" s="1153"/>
      <c r="AD22" s="943">
        <f t="shared" ref="AD22:AD33" si="19">SUM(AB22+AC22)</f>
        <v>0</v>
      </c>
      <c r="AE22" s="943">
        <f t="shared" ref="AE22:AE33" si="20">AB22-AA22</f>
        <v>0</v>
      </c>
      <c r="AF22" s="943"/>
      <c r="AG22" s="1153"/>
      <c r="AH22" s="1153"/>
      <c r="AI22" s="943">
        <f t="shared" ref="AI22:AI33" si="21">SUM(AG22+AH22)</f>
        <v>0</v>
      </c>
      <c r="AJ22" s="943">
        <f t="shared" ref="AJ22:AJ33" si="22">AG22-AF22</f>
        <v>0</v>
      </c>
      <c r="AK22" s="943"/>
      <c r="AL22" s="1153"/>
      <c r="AM22" s="1153"/>
      <c r="AN22" s="943">
        <f t="shared" ref="AN22:AN29" si="23">SUM(AL22+AM22)</f>
        <v>0</v>
      </c>
      <c r="AO22" s="943">
        <f t="shared" ref="AO22:AO33" si="24">AL22-AK22</f>
        <v>0</v>
      </c>
      <c r="AP22" s="943"/>
      <c r="AQ22" s="943"/>
      <c r="AR22" s="943"/>
      <c r="AS22" s="943">
        <f t="shared" ref="AS22:AS33" si="25">SUM(AQ22+AR22)</f>
        <v>0</v>
      </c>
      <c r="AT22" s="943">
        <f t="shared" ref="AT22:AT33" si="26">AQ22-AP22</f>
        <v>0</v>
      </c>
      <c r="AU22" s="943"/>
      <c r="AV22" s="1153"/>
      <c r="AW22" s="1153"/>
      <c r="AX22" s="943">
        <f t="shared" ref="AX22:AX29" si="27">SUM(AV22+AW22)</f>
        <v>0</v>
      </c>
      <c r="AY22" s="943">
        <f t="shared" ref="AY22:AY33" si="28">AV22-AU22</f>
        <v>0</v>
      </c>
      <c r="AZ22" s="943"/>
      <c r="BA22" s="943"/>
      <c r="BB22" s="943"/>
      <c r="BC22" s="943">
        <f t="shared" ref="BC22:BC29" si="29">SUM(BA22+BB22)</f>
        <v>0</v>
      </c>
      <c r="BD22" s="943">
        <f t="shared" ref="BD22:BD33" si="30">BA22-AZ22</f>
        <v>0</v>
      </c>
      <c r="BE22" s="1160">
        <f t="shared" ref="BE22:BE33" si="31">B22+G22+L22+Q22+V22+AA22+AF22+AK22+AP22+AU22+AZ22</f>
        <v>0</v>
      </c>
      <c r="BF22" s="1160">
        <f t="shared" ref="BF22:BF33" si="32">C22+H22+M22+R22+W22+AB22+AG22+AL22+AQ22+AV22+BA22</f>
        <v>0</v>
      </c>
      <c r="BG22" s="1160">
        <f t="shared" ref="BG22:BG33" si="33">D22+I22+N22+S22+X22+AC22+AH22+AM22+AR22+AW22+BB22</f>
        <v>0</v>
      </c>
      <c r="BH22" s="1141">
        <f t="shared" si="15"/>
        <v>0</v>
      </c>
      <c r="BI22" s="1141">
        <f t="shared" si="16"/>
        <v>0</v>
      </c>
      <c r="BJ22" s="943"/>
      <c r="BK22" s="1153"/>
      <c r="BL22" s="1153"/>
      <c r="BM22" s="943">
        <f t="shared" ref="BM22:BM33" si="34">SUM(BK22+BL22)</f>
        <v>0</v>
      </c>
      <c r="BN22" s="943"/>
      <c r="BO22" s="943"/>
      <c r="BP22" s="1153"/>
      <c r="BQ22" s="1153"/>
      <c r="BR22" s="943">
        <f t="shared" ref="BR22:BR33" si="35">SUM(BP22+BQ22)</f>
        <v>0</v>
      </c>
      <c r="BS22" s="943">
        <f t="shared" ref="BS22:BS33" si="36">BP22-BO22</f>
        <v>0</v>
      </c>
      <c r="BT22" s="943"/>
      <c r="BU22" s="1153"/>
      <c r="BV22" s="1153"/>
      <c r="BW22" s="943">
        <f t="shared" ref="BW22:BW33" si="37">SUM(BU22+BV22)</f>
        <v>0</v>
      </c>
      <c r="BX22" s="943"/>
      <c r="BY22" s="943"/>
      <c r="BZ22" s="1153"/>
      <c r="CA22" s="1153"/>
      <c r="CB22" s="943">
        <f t="shared" ref="CB22:CB33" si="38">SUM(BZ22+CA22)</f>
        <v>0</v>
      </c>
      <c r="CC22" s="943"/>
      <c r="CD22" s="943"/>
      <c r="CE22" s="1153"/>
      <c r="CF22" s="1153"/>
      <c r="CG22" s="943">
        <f t="shared" ref="CG22:CG33" si="39">SUM(CE22+CF22)</f>
        <v>0</v>
      </c>
      <c r="CH22" s="943">
        <f t="shared" ref="CH22:CH33" si="40">CE22-CD22</f>
        <v>0</v>
      </c>
      <c r="CI22" s="943"/>
      <c r="CJ22" s="1153"/>
      <c r="CK22" s="1153"/>
      <c r="CL22" s="943">
        <f t="shared" ref="CL22:CL33" si="41">SUM(CJ22+CK22)</f>
        <v>0</v>
      </c>
      <c r="CM22" s="943"/>
      <c r="CN22" s="943"/>
      <c r="CO22" s="1153"/>
      <c r="CP22" s="1153"/>
      <c r="CQ22" s="943">
        <f t="shared" ref="CQ22:CQ33" si="42">SUM(CO22+CP22)</f>
        <v>0</v>
      </c>
      <c r="CR22" s="943">
        <f t="shared" ref="CR22:CR33" si="43">CO22-CN22</f>
        <v>0</v>
      </c>
      <c r="CS22" s="943"/>
      <c r="CT22" s="1153">
        <v>0</v>
      </c>
      <c r="CU22" s="1153"/>
      <c r="CV22" s="943">
        <f t="shared" ref="CV22:CV33" si="44">SUM(CT22+CU22)</f>
        <v>0</v>
      </c>
      <c r="CW22" s="943">
        <f t="shared" ref="CW22:CW33" si="45">CT22-CS22</f>
        <v>0</v>
      </c>
      <c r="CX22" s="943"/>
      <c r="CY22" s="943"/>
      <c r="CZ22" s="943"/>
      <c r="DA22" s="943"/>
      <c r="DB22" s="943"/>
      <c r="DC22" s="1160">
        <f t="shared" si="7"/>
        <v>0</v>
      </c>
      <c r="DD22" s="1160">
        <f t="shared" si="8"/>
        <v>0</v>
      </c>
      <c r="DE22" s="1160">
        <f t="shared" si="9"/>
        <v>0</v>
      </c>
      <c r="DF22" s="1141">
        <f t="shared" si="10"/>
        <v>0</v>
      </c>
      <c r="DG22" s="1141">
        <f t="shared" si="10"/>
        <v>0</v>
      </c>
      <c r="DH22" s="943"/>
      <c r="DI22" s="943"/>
      <c r="DJ22" s="943"/>
      <c r="DK22" s="943">
        <f>SUM(DI22+DJ22)</f>
        <v>0</v>
      </c>
      <c r="DL22" s="943"/>
      <c r="DM22" s="1141">
        <f t="shared" si="11"/>
        <v>0</v>
      </c>
      <c r="DN22" s="1141">
        <f t="shared" si="12"/>
        <v>0</v>
      </c>
      <c r="DO22" s="1141">
        <f t="shared" si="13"/>
        <v>0</v>
      </c>
      <c r="DP22" s="1141">
        <f t="shared" si="14"/>
        <v>0</v>
      </c>
      <c r="DQ22" s="1141">
        <f t="shared" si="14"/>
        <v>0</v>
      </c>
    </row>
    <row r="23" spans="1:121" hidden="1">
      <c r="A23" s="920" t="s">
        <v>706</v>
      </c>
      <c r="B23" s="920"/>
      <c r="C23" s="1153"/>
      <c r="D23" s="1153"/>
      <c r="E23" s="943">
        <f>SUM(C23+D23)</f>
        <v>0</v>
      </c>
      <c r="F23" s="943"/>
      <c r="G23" s="943"/>
      <c r="H23" s="1153"/>
      <c r="I23" s="1153"/>
      <c r="J23" s="943">
        <f t="shared" si="17"/>
        <v>0</v>
      </c>
      <c r="K23" s="943"/>
      <c r="L23" s="943"/>
      <c r="M23" s="1153"/>
      <c r="N23" s="1153"/>
      <c r="O23" s="943">
        <f t="shared" si="18"/>
        <v>0</v>
      </c>
      <c r="P23" s="943"/>
      <c r="Q23" s="943"/>
      <c r="R23" s="1153"/>
      <c r="S23" s="1153"/>
      <c r="T23" s="943">
        <f>SUM(R23+S23)</f>
        <v>0</v>
      </c>
      <c r="U23" s="943"/>
      <c r="V23" s="943"/>
      <c r="W23" s="943"/>
      <c r="X23" s="1153"/>
      <c r="Y23" s="943">
        <f>SUM(W23+X23)</f>
        <v>0</v>
      </c>
      <c r="Z23" s="943"/>
      <c r="AA23" s="943"/>
      <c r="AB23" s="1153"/>
      <c r="AC23" s="1153"/>
      <c r="AD23" s="943">
        <f t="shared" si="19"/>
        <v>0</v>
      </c>
      <c r="AE23" s="943">
        <f t="shared" si="20"/>
        <v>0</v>
      </c>
      <c r="AF23" s="943"/>
      <c r="AG23" s="1153"/>
      <c r="AH23" s="1153"/>
      <c r="AI23" s="943">
        <f t="shared" si="21"/>
        <v>0</v>
      </c>
      <c r="AJ23" s="943">
        <f t="shared" si="22"/>
        <v>0</v>
      </c>
      <c r="AK23" s="943"/>
      <c r="AL23" s="1153"/>
      <c r="AM23" s="1153"/>
      <c r="AN23" s="943">
        <f t="shared" si="23"/>
        <v>0</v>
      </c>
      <c r="AO23" s="943">
        <f t="shared" si="24"/>
        <v>0</v>
      </c>
      <c r="AP23" s="943"/>
      <c r="AQ23" s="943"/>
      <c r="AR23" s="943"/>
      <c r="AS23" s="943">
        <f t="shared" si="25"/>
        <v>0</v>
      </c>
      <c r="AT23" s="943">
        <f t="shared" si="26"/>
        <v>0</v>
      </c>
      <c r="AU23" s="943"/>
      <c r="AV23" s="1153"/>
      <c r="AW23" s="1153"/>
      <c r="AX23" s="943">
        <f t="shared" si="27"/>
        <v>0</v>
      </c>
      <c r="AY23" s="943">
        <f t="shared" si="28"/>
        <v>0</v>
      </c>
      <c r="AZ23" s="943"/>
      <c r="BA23" s="943"/>
      <c r="BB23" s="943"/>
      <c r="BC23" s="943">
        <f t="shared" si="29"/>
        <v>0</v>
      </c>
      <c r="BD23" s="943">
        <f t="shared" si="30"/>
        <v>0</v>
      </c>
      <c r="BE23" s="1160">
        <f t="shared" si="31"/>
        <v>0</v>
      </c>
      <c r="BF23" s="1160">
        <f t="shared" si="32"/>
        <v>0</v>
      </c>
      <c r="BG23" s="1160">
        <f t="shared" si="33"/>
        <v>0</v>
      </c>
      <c r="BH23" s="1141">
        <f t="shared" si="15"/>
        <v>0</v>
      </c>
      <c r="BI23" s="1141">
        <f t="shared" si="16"/>
        <v>0</v>
      </c>
      <c r="BJ23" s="943"/>
      <c r="BK23" s="1153"/>
      <c r="BL23" s="1153"/>
      <c r="BM23" s="943">
        <f t="shared" si="34"/>
        <v>0</v>
      </c>
      <c r="BN23" s="943"/>
      <c r="BO23" s="943"/>
      <c r="BP23" s="1153"/>
      <c r="BQ23" s="1153"/>
      <c r="BR23" s="943">
        <f t="shared" si="35"/>
        <v>0</v>
      </c>
      <c r="BS23" s="943">
        <f t="shared" si="36"/>
        <v>0</v>
      </c>
      <c r="BT23" s="943"/>
      <c r="BU23" s="1153"/>
      <c r="BV23" s="1153"/>
      <c r="BW23" s="943">
        <f t="shared" si="37"/>
        <v>0</v>
      </c>
      <c r="BX23" s="943"/>
      <c r="BY23" s="943"/>
      <c r="BZ23" s="1153"/>
      <c r="CA23" s="1153"/>
      <c r="CB23" s="943">
        <f t="shared" si="38"/>
        <v>0</v>
      </c>
      <c r="CC23" s="943"/>
      <c r="CD23" s="943"/>
      <c r="CE23" s="1153"/>
      <c r="CF23" s="1153"/>
      <c r="CG23" s="943">
        <f t="shared" si="39"/>
        <v>0</v>
      </c>
      <c r="CH23" s="943">
        <f t="shared" si="40"/>
        <v>0</v>
      </c>
      <c r="CI23" s="943"/>
      <c r="CJ23" s="1153"/>
      <c r="CK23" s="1153"/>
      <c r="CL23" s="943">
        <f t="shared" si="41"/>
        <v>0</v>
      </c>
      <c r="CM23" s="943"/>
      <c r="CN23" s="943"/>
      <c r="CO23" s="1153"/>
      <c r="CP23" s="1153"/>
      <c r="CQ23" s="943">
        <f t="shared" si="42"/>
        <v>0</v>
      </c>
      <c r="CR23" s="943">
        <f t="shared" si="43"/>
        <v>0</v>
      </c>
      <c r="CS23" s="943"/>
      <c r="CT23" s="1153">
        <v>0</v>
      </c>
      <c r="CU23" s="1153"/>
      <c r="CV23" s="943">
        <f t="shared" si="44"/>
        <v>0</v>
      </c>
      <c r="CW23" s="943">
        <f t="shared" si="45"/>
        <v>0</v>
      </c>
      <c r="CX23" s="943"/>
      <c r="CY23" s="943"/>
      <c r="CZ23" s="943"/>
      <c r="DA23" s="943"/>
      <c r="DB23" s="943"/>
      <c r="DC23" s="1160">
        <f t="shared" si="7"/>
        <v>0</v>
      </c>
      <c r="DD23" s="1160">
        <f t="shared" si="8"/>
        <v>0</v>
      </c>
      <c r="DE23" s="1160">
        <f t="shared" si="9"/>
        <v>0</v>
      </c>
      <c r="DF23" s="1141">
        <f t="shared" si="10"/>
        <v>0</v>
      </c>
      <c r="DG23" s="1141">
        <f t="shared" si="10"/>
        <v>0</v>
      </c>
      <c r="DH23" s="943"/>
      <c r="DI23" s="943"/>
      <c r="DJ23" s="943"/>
      <c r="DK23" s="943">
        <f>SUM(DI23+DJ23)</f>
        <v>0</v>
      </c>
      <c r="DL23" s="943"/>
      <c r="DM23" s="1141">
        <f t="shared" si="11"/>
        <v>0</v>
      </c>
      <c r="DN23" s="1141">
        <f t="shared" si="12"/>
        <v>0</v>
      </c>
      <c r="DO23" s="1141">
        <f t="shared" si="13"/>
        <v>0</v>
      </c>
      <c r="DP23" s="1141">
        <f t="shared" si="14"/>
        <v>0</v>
      </c>
      <c r="DQ23" s="1141">
        <f t="shared" si="14"/>
        <v>0</v>
      </c>
    </row>
    <row r="24" spans="1:121">
      <c r="A24" s="920" t="s">
        <v>707</v>
      </c>
      <c r="B24" s="1153">
        <v>159167000</v>
      </c>
      <c r="C24" s="1153">
        <v>176167000</v>
      </c>
      <c r="D24" s="1153"/>
      <c r="E24" s="943">
        <v>192137000</v>
      </c>
      <c r="F24" s="943">
        <v>164483623</v>
      </c>
      <c r="G24" s="1153">
        <v>784745000</v>
      </c>
      <c r="H24" s="1153">
        <v>791095000</v>
      </c>
      <c r="I24" s="1153"/>
      <c r="J24" s="943">
        <f t="shared" si="17"/>
        <v>791095000</v>
      </c>
      <c r="K24" s="943">
        <v>617480469</v>
      </c>
      <c r="L24" s="1153">
        <v>145234000</v>
      </c>
      <c r="M24" s="1153">
        <v>145234000</v>
      </c>
      <c r="N24" s="1153"/>
      <c r="O24" s="943">
        <f t="shared" si="18"/>
        <v>145234000</v>
      </c>
      <c r="P24" s="943">
        <v>145234658</v>
      </c>
      <c r="Q24" s="1152">
        <v>509705000</v>
      </c>
      <c r="R24" s="1153">
        <v>509705000</v>
      </c>
      <c r="S24" s="1153"/>
      <c r="T24" s="943">
        <v>547653235</v>
      </c>
      <c r="U24" s="943">
        <v>530089654</v>
      </c>
      <c r="V24" s="943">
        <v>94326000</v>
      </c>
      <c r="W24" s="1153">
        <f>138260000-43934000</f>
        <v>94326000</v>
      </c>
      <c r="X24" s="1153"/>
      <c r="Y24" s="943">
        <v>95723000</v>
      </c>
      <c r="Z24" s="943">
        <v>92298943</v>
      </c>
      <c r="AA24" s="1153"/>
      <c r="AB24" s="1153"/>
      <c r="AC24" s="1153"/>
      <c r="AD24" s="943">
        <f t="shared" si="19"/>
        <v>0</v>
      </c>
      <c r="AE24" s="943">
        <f t="shared" si="20"/>
        <v>0</v>
      </c>
      <c r="AF24" s="943"/>
      <c r="AG24" s="943"/>
      <c r="AH24" s="1153"/>
      <c r="AI24" s="943">
        <f t="shared" si="21"/>
        <v>0</v>
      </c>
      <c r="AJ24" s="943">
        <f t="shared" si="22"/>
        <v>0</v>
      </c>
      <c r="AK24" s="943"/>
      <c r="AL24" s="1153"/>
      <c r="AM24" s="1153"/>
      <c r="AN24" s="943">
        <f t="shared" si="23"/>
        <v>0</v>
      </c>
      <c r="AO24" s="943">
        <f t="shared" si="24"/>
        <v>0</v>
      </c>
      <c r="AP24" s="943"/>
      <c r="AQ24" s="943"/>
      <c r="AR24" s="943"/>
      <c r="AS24" s="943">
        <f t="shared" si="25"/>
        <v>0</v>
      </c>
      <c r="AT24" s="943">
        <f t="shared" si="26"/>
        <v>0</v>
      </c>
      <c r="AU24" s="943"/>
      <c r="AV24" s="1153"/>
      <c r="AW24" s="1153"/>
      <c r="AX24" s="943">
        <f t="shared" si="27"/>
        <v>0</v>
      </c>
      <c r="AY24" s="943">
        <f t="shared" si="28"/>
        <v>0</v>
      </c>
      <c r="AZ24" s="943"/>
      <c r="BA24" s="943"/>
      <c r="BB24" s="943"/>
      <c r="BC24" s="943">
        <f t="shared" si="29"/>
        <v>0</v>
      </c>
      <c r="BD24" s="943">
        <f t="shared" si="30"/>
        <v>0</v>
      </c>
      <c r="BE24" s="1160">
        <f t="shared" si="31"/>
        <v>1693177000</v>
      </c>
      <c r="BF24" s="1160">
        <f t="shared" si="32"/>
        <v>1716527000</v>
      </c>
      <c r="BG24" s="1160">
        <f t="shared" si="33"/>
        <v>0</v>
      </c>
      <c r="BH24" s="1141">
        <f t="shared" si="15"/>
        <v>1771842235</v>
      </c>
      <c r="BI24" s="1141">
        <f t="shared" si="16"/>
        <v>1549587347</v>
      </c>
      <c r="BJ24" s="1153"/>
      <c r="BK24" s="1153"/>
      <c r="BL24" s="1153"/>
      <c r="BM24" s="943">
        <f t="shared" si="34"/>
        <v>0</v>
      </c>
      <c r="BN24" s="943"/>
      <c r="BO24" s="943"/>
      <c r="BP24" s="1153"/>
      <c r="BQ24" s="1153"/>
      <c r="BR24" s="943">
        <f t="shared" si="35"/>
        <v>0</v>
      </c>
      <c r="BS24" s="943">
        <f t="shared" si="36"/>
        <v>0</v>
      </c>
      <c r="BT24" s="943">
        <v>5814000</v>
      </c>
      <c r="BU24" s="1153">
        <v>5814000</v>
      </c>
      <c r="BV24" s="1153">
        <v>-1083334</v>
      </c>
      <c r="BW24" s="943">
        <f t="shared" si="37"/>
        <v>4730666</v>
      </c>
      <c r="BX24" s="943">
        <f>392-392</f>
        <v>0</v>
      </c>
      <c r="BY24" s="943"/>
      <c r="BZ24" s="1153"/>
      <c r="CA24" s="1153"/>
      <c r="CB24" s="943">
        <f t="shared" si="38"/>
        <v>0</v>
      </c>
      <c r="CC24" s="943"/>
      <c r="CD24" s="943"/>
      <c r="CE24" s="1153"/>
      <c r="CF24" s="1153"/>
      <c r="CG24" s="943">
        <f t="shared" si="39"/>
        <v>0</v>
      </c>
      <c r="CH24" s="943">
        <f t="shared" si="40"/>
        <v>0</v>
      </c>
      <c r="CI24" s="943"/>
      <c r="CJ24" s="1153"/>
      <c r="CK24" s="1153"/>
      <c r="CL24" s="943">
        <f t="shared" si="41"/>
        <v>0</v>
      </c>
      <c r="CM24" s="943"/>
      <c r="CN24" s="943"/>
      <c r="CO24" s="1153"/>
      <c r="CP24" s="1153"/>
      <c r="CQ24" s="943">
        <f t="shared" si="42"/>
        <v>0</v>
      </c>
      <c r="CR24" s="943">
        <f t="shared" si="43"/>
        <v>0</v>
      </c>
      <c r="CS24" s="943"/>
      <c r="CT24" s="1153"/>
      <c r="CU24" s="1153"/>
      <c r="CV24" s="943">
        <f t="shared" si="44"/>
        <v>0</v>
      </c>
      <c r="CW24" s="943">
        <f t="shared" si="45"/>
        <v>0</v>
      </c>
      <c r="CX24" s="943"/>
      <c r="CY24" s="943"/>
      <c r="CZ24" s="943"/>
      <c r="DA24" s="943">
        <v>0</v>
      </c>
      <c r="DB24" s="943"/>
      <c r="DC24" s="1160">
        <f t="shared" si="7"/>
        <v>5814000</v>
      </c>
      <c r="DD24" s="1160">
        <f t="shared" si="8"/>
        <v>5814000</v>
      </c>
      <c r="DE24" s="1160">
        <f t="shared" si="9"/>
        <v>-1083334</v>
      </c>
      <c r="DF24" s="1141">
        <f t="shared" si="10"/>
        <v>4730666</v>
      </c>
      <c r="DG24" s="1141">
        <f t="shared" si="10"/>
        <v>0</v>
      </c>
      <c r="DH24" s="943">
        <v>46868000</v>
      </c>
      <c r="DI24" s="943">
        <v>46788000</v>
      </c>
      <c r="DJ24" s="943">
        <v>1125000</v>
      </c>
      <c r="DK24" s="943">
        <v>61033520</v>
      </c>
      <c r="DL24" s="943">
        <f>30952392+9878187</f>
        <v>40830579</v>
      </c>
      <c r="DM24" s="1141">
        <f t="shared" si="11"/>
        <v>1745859000</v>
      </c>
      <c r="DN24" s="1141">
        <f t="shared" si="12"/>
        <v>1769129000</v>
      </c>
      <c r="DO24" s="1141">
        <f t="shared" si="13"/>
        <v>41666</v>
      </c>
      <c r="DP24" s="1141">
        <f t="shared" si="14"/>
        <v>1837606421</v>
      </c>
      <c r="DQ24" s="1141">
        <f t="shared" si="14"/>
        <v>1590417926</v>
      </c>
    </row>
    <row r="25" spans="1:121" ht="15" customHeight="1">
      <c r="A25" s="380" t="s">
        <v>17</v>
      </c>
      <c r="B25" s="380"/>
      <c r="C25" s="1153"/>
      <c r="D25" s="1153"/>
      <c r="E25" s="943">
        <f>SUM(C25+D25)</f>
        <v>0</v>
      </c>
      <c r="F25" s="943"/>
      <c r="G25" s="943"/>
      <c r="H25" s="1153"/>
      <c r="I25" s="1153"/>
      <c r="J25" s="943">
        <f t="shared" si="17"/>
        <v>0</v>
      </c>
      <c r="K25" s="943"/>
      <c r="L25" s="943"/>
      <c r="M25" s="1153"/>
      <c r="N25" s="1153"/>
      <c r="O25" s="943">
        <f t="shared" si="18"/>
        <v>0</v>
      </c>
      <c r="P25" s="943"/>
      <c r="Q25" s="943"/>
      <c r="R25" s="1153"/>
      <c r="S25" s="1153"/>
      <c r="T25" s="943">
        <f>SUM(R25+S25)</f>
        <v>0</v>
      </c>
      <c r="U25" s="943"/>
      <c r="V25" s="943"/>
      <c r="W25" s="943"/>
      <c r="X25" s="1153"/>
      <c r="Y25" s="943">
        <f t="shared" ref="Y25:Y33" si="46">SUM(W25+X25)</f>
        <v>0</v>
      </c>
      <c r="Z25" s="943"/>
      <c r="AA25" s="943"/>
      <c r="AB25" s="1153"/>
      <c r="AC25" s="1153"/>
      <c r="AD25" s="943">
        <f t="shared" si="19"/>
        <v>0</v>
      </c>
      <c r="AE25" s="943">
        <f t="shared" si="20"/>
        <v>0</v>
      </c>
      <c r="AF25" s="943"/>
      <c r="AG25" s="1153"/>
      <c r="AH25" s="1153"/>
      <c r="AI25" s="943">
        <f t="shared" si="21"/>
        <v>0</v>
      </c>
      <c r="AJ25" s="943">
        <f t="shared" si="22"/>
        <v>0</v>
      </c>
      <c r="AK25" s="943"/>
      <c r="AL25" s="1153"/>
      <c r="AM25" s="1153"/>
      <c r="AN25" s="943">
        <f t="shared" si="23"/>
        <v>0</v>
      </c>
      <c r="AO25" s="943">
        <f t="shared" si="24"/>
        <v>0</v>
      </c>
      <c r="AP25" s="943"/>
      <c r="AQ25" s="943"/>
      <c r="AR25" s="943"/>
      <c r="AS25" s="943">
        <f t="shared" si="25"/>
        <v>0</v>
      </c>
      <c r="AT25" s="943">
        <f t="shared" si="26"/>
        <v>0</v>
      </c>
      <c r="AU25" s="943"/>
      <c r="AV25" s="1153"/>
      <c r="AW25" s="1153"/>
      <c r="AX25" s="943">
        <f t="shared" si="27"/>
        <v>0</v>
      </c>
      <c r="AY25" s="943">
        <f t="shared" si="28"/>
        <v>0</v>
      </c>
      <c r="AZ25" s="943"/>
      <c r="BA25" s="943"/>
      <c r="BB25" s="943"/>
      <c r="BC25" s="943">
        <f t="shared" si="29"/>
        <v>0</v>
      </c>
      <c r="BD25" s="943">
        <f t="shared" si="30"/>
        <v>0</v>
      </c>
      <c r="BE25" s="1160">
        <f t="shared" si="31"/>
        <v>0</v>
      </c>
      <c r="BF25" s="1160">
        <f t="shared" si="32"/>
        <v>0</v>
      </c>
      <c r="BG25" s="1160">
        <f t="shared" si="33"/>
        <v>0</v>
      </c>
      <c r="BH25" s="1141">
        <f t="shared" si="15"/>
        <v>0</v>
      </c>
      <c r="BI25" s="1141">
        <f t="shared" si="16"/>
        <v>0</v>
      </c>
      <c r="BJ25" s="943"/>
      <c r="BK25" s="1153"/>
      <c r="BL25" s="1153"/>
      <c r="BM25" s="943">
        <f t="shared" si="34"/>
        <v>0</v>
      </c>
      <c r="BN25" s="943"/>
      <c r="BO25" s="943"/>
      <c r="BP25" s="1153"/>
      <c r="BQ25" s="1153"/>
      <c r="BR25" s="943">
        <f t="shared" si="35"/>
        <v>0</v>
      </c>
      <c r="BS25" s="943">
        <f t="shared" si="36"/>
        <v>0</v>
      </c>
      <c r="BT25" s="943"/>
      <c r="BU25" s="1153"/>
      <c r="BV25" s="1153"/>
      <c r="BW25" s="943">
        <f t="shared" si="37"/>
        <v>0</v>
      </c>
      <c r="BX25" s="943"/>
      <c r="BY25" s="943"/>
      <c r="BZ25" s="1153"/>
      <c r="CA25" s="1153"/>
      <c r="CB25" s="943">
        <f t="shared" si="38"/>
        <v>0</v>
      </c>
      <c r="CC25" s="943"/>
      <c r="CD25" s="943"/>
      <c r="CE25" s="1153"/>
      <c r="CF25" s="1153"/>
      <c r="CG25" s="943">
        <f t="shared" si="39"/>
        <v>0</v>
      </c>
      <c r="CH25" s="943">
        <f t="shared" si="40"/>
        <v>0</v>
      </c>
      <c r="CI25" s="943"/>
      <c r="CJ25" s="1153"/>
      <c r="CK25" s="1153"/>
      <c r="CL25" s="943">
        <f t="shared" si="41"/>
        <v>0</v>
      </c>
      <c r="CM25" s="943"/>
      <c r="CN25" s="943"/>
      <c r="CO25" s="1153"/>
      <c r="CP25" s="1153"/>
      <c r="CQ25" s="943">
        <f t="shared" si="42"/>
        <v>0</v>
      </c>
      <c r="CR25" s="943">
        <f t="shared" si="43"/>
        <v>0</v>
      </c>
      <c r="CS25" s="943"/>
      <c r="CT25" s="1153">
        <v>0</v>
      </c>
      <c r="CU25" s="1153"/>
      <c r="CV25" s="943">
        <f t="shared" si="44"/>
        <v>0</v>
      </c>
      <c r="CW25" s="943">
        <f t="shared" si="45"/>
        <v>0</v>
      </c>
      <c r="CX25" s="943"/>
      <c r="CY25" s="943"/>
      <c r="CZ25" s="943"/>
      <c r="DA25" s="943">
        <v>0</v>
      </c>
      <c r="DB25" s="943"/>
      <c r="DC25" s="1160">
        <f t="shared" si="7"/>
        <v>0</v>
      </c>
      <c r="DD25" s="1160">
        <f t="shared" si="8"/>
        <v>0</v>
      </c>
      <c r="DE25" s="1160">
        <f t="shared" si="9"/>
        <v>0</v>
      </c>
      <c r="DF25" s="1141">
        <f t="shared" si="10"/>
        <v>0</v>
      </c>
      <c r="DG25" s="1141">
        <f t="shared" si="10"/>
        <v>0</v>
      </c>
      <c r="DH25" s="943"/>
      <c r="DI25" s="943"/>
      <c r="DJ25" s="943"/>
      <c r="DK25" s="943">
        <f>SUM(DI25+DJ25)</f>
        <v>0</v>
      </c>
      <c r="DL25" s="943"/>
      <c r="DM25" s="1141">
        <f t="shared" si="11"/>
        <v>0</v>
      </c>
      <c r="DN25" s="1141">
        <f t="shared" si="12"/>
        <v>0</v>
      </c>
      <c r="DO25" s="1141">
        <f t="shared" si="13"/>
        <v>0</v>
      </c>
      <c r="DP25" s="1141">
        <f t="shared" si="14"/>
        <v>0</v>
      </c>
      <c r="DQ25" s="1141">
        <f t="shared" si="14"/>
        <v>0</v>
      </c>
    </row>
    <row r="26" spans="1:121" ht="15" hidden="1" customHeight="1">
      <c r="A26" s="380" t="s">
        <v>19</v>
      </c>
      <c r="B26" s="380"/>
      <c r="C26" s="1153"/>
      <c r="D26" s="1153"/>
      <c r="E26" s="943">
        <f>SUM(C26+D26)</f>
        <v>0</v>
      </c>
      <c r="F26" s="943"/>
      <c r="G26" s="943"/>
      <c r="H26" s="1153"/>
      <c r="I26" s="1153"/>
      <c r="J26" s="943">
        <f t="shared" si="17"/>
        <v>0</v>
      </c>
      <c r="K26" s="943"/>
      <c r="L26" s="943"/>
      <c r="M26" s="1153"/>
      <c r="N26" s="1153"/>
      <c r="O26" s="943">
        <f t="shared" si="18"/>
        <v>0</v>
      </c>
      <c r="P26" s="943"/>
      <c r="Q26" s="943"/>
      <c r="R26" s="1153"/>
      <c r="S26" s="1153"/>
      <c r="T26" s="943">
        <f>SUM(R26+S26)</f>
        <v>0</v>
      </c>
      <c r="U26" s="943"/>
      <c r="V26" s="943"/>
      <c r="W26" s="943"/>
      <c r="X26" s="1153"/>
      <c r="Y26" s="943">
        <f t="shared" si="46"/>
        <v>0</v>
      </c>
      <c r="Z26" s="943"/>
      <c r="AA26" s="943"/>
      <c r="AB26" s="1153"/>
      <c r="AC26" s="1153"/>
      <c r="AD26" s="943">
        <f t="shared" si="19"/>
        <v>0</v>
      </c>
      <c r="AE26" s="943">
        <f t="shared" si="20"/>
        <v>0</v>
      </c>
      <c r="AF26" s="943"/>
      <c r="AG26" s="1153"/>
      <c r="AH26" s="1153"/>
      <c r="AI26" s="943">
        <f t="shared" si="21"/>
        <v>0</v>
      </c>
      <c r="AJ26" s="943">
        <f t="shared" si="22"/>
        <v>0</v>
      </c>
      <c r="AK26" s="943"/>
      <c r="AL26" s="1153"/>
      <c r="AM26" s="1153"/>
      <c r="AN26" s="943">
        <f t="shared" si="23"/>
        <v>0</v>
      </c>
      <c r="AO26" s="943">
        <f t="shared" si="24"/>
        <v>0</v>
      </c>
      <c r="AP26" s="943"/>
      <c r="AQ26" s="943"/>
      <c r="AR26" s="943"/>
      <c r="AS26" s="943">
        <f t="shared" si="25"/>
        <v>0</v>
      </c>
      <c r="AT26" s="943">
        <f t="shared" si="26"/>
        <v>0</v>
      </c>
      <c r="AU26" s="943"/>
      <c r="AV26" s="1153"/>
      <c r="AW26" s="1153"/>
      <c r="AX26" s="943">
        <f t="shared" si="27"/>
        <v>0</v>
      </c>
      <c r="AY26" s="943">
        <f t="shared" si="28"/>
        <v>0</v>
      </c>
      <c r="AZ26" s="943"/>
      <c r="BA26" s="943"/>
      <c r="BB26" s="943"/>
      <c r="BC26" s="943">
        <f t="shared" si="29"/>
        <v>0</v>
      </c>
      <c r="BD26" s="943">
        <f t="shared" si="30"/>
        <v>0</v>
      </c>
      <c r="BE26" s="1160">
        <f t="shared" si="31"/>
        <v>0</v>
      </c>
      <c r="BF26" s="1160">
        <f t="shared" si="32"/>
        <v>0</v>
      </c>
      <c r="BG26" s="1160">
        <f t="shared" si="33"/>
        <v>0</v>
      </c>
      <c r="BH26" s="1141">
        <f t="shared" si="15"/>
        <v>0</v>
      </c>
      <c r="BI26" s="1141">
        <f t="shared" si="16"/>
        <v>0</v>
      </c>
      <c r="BJ26" s="943"/>
      <c r="BK26" s="1153"/>
      <c r="BL26" s="1153"/>
      <c r="BM26" s="943">
        <f t="shared" si="34"/>
        <v>0</v>
      </c>
      <c r="BN26" s="943"/>
      <c r="BO26" s="943"/>
      <c r="BP26" s="1153"/>
      <c r="BQ26" s="1153"/>
      <c r="BR26" s="943">
        <f t="shared" si="35"/>
        <v>0</v>
      </c>
      <c r="BS26" s="943">
        <f t="shared" si="36"/>
        <v>0</v>
      </c>
      <c r="BT26" s="943"/>
      <c r="BU26" s="1153"/>
      <c r="BV26" s="1153"/>
      <c r="BW26" s="943">
        <f t="shared" si="37"/>
        <v>0</v>
      </c>
      <c r="BX26" s="943"/>
      <c r="BY26" s="943"/>
      <c r="BZ26" s="1153"/>
      <c r="CA26" s="1153"/>
      <c r="CB26" s="943">
        <f t="shared" si="38"/>
        <v>0</v>
      </c>
      <c r="CC26" s="943"/>
      <c r="CD26" s="943"/>
      <c r="CE26" s="1153"/>
      <c r="CF26" s="1153"/>
      <c r="CG26" s="943">
        <f t="shared" si="39"/>
        <v>0</v>
      </c>
      <c r="CH26" s="943">
        <f t="shared" si="40"/>
        <v>0</v>
      </c>
      <c r="CI26" s="943"/>
      <c r="CJ26" s="1153"/>
      <c r="CK26" s="1153"/>
      <c r="CL26" s="943">
        <f t="shared" si="41"/>
        <v>0</v>
      </c>
      <c r="CM26" s="943"/>
      <c r="CN26" s="943"/>
      <c r="CO26" s="1153"/>
      <c r="CP26" s="1153"/>
      <c r="CQ26" s="943">
        <f t="shared" si="42"/>
        <v>0</v>
      </c>
      <c r="CR26" s="943">
        <f t="shared" si="43"/>
        <v>0</v>
      </c>
      <c r="CS26" s="943"/>
      <c r="CT26" s="1153"/>
      <c r="CU26" s="1153"/>
      <c r="CV26" s="943">
        <f t="shared" si="44"/>
        <v>0</v>
      </c>
      <c r="CW26" s="943">
        <f t="shared" si="45"/>
        <v>0</v>
      </c>
      <c r="CX26" s="943"/>
      <c r="CY26" s="943"/>
      <c r="CZ26" s="943"/>
      <c r="DA26" s="943"/>
      <c r="DB26" s="943"/>
      <c r="DC26" s="1160">
        <f t="shared" si="7"/>
        <v>0</v>
      </c>
      <c r="DD26" s="1160">
        <f t="shared" si="8"/>
        <v>0</v>
      </c>
      <c r="DE26" s="1160">
        <f t="shared" si="9"/>
        <v>0</v>
      </c>
      <c r="DF26" s="1141">
        <f t="shared" si="10"/>
        <v>0</v>
      </c>
      <c r="DG26" s="1141">
        <f t="shared" si="10"/>
        <v>0</v>
      </c>
      <c r="DH26" s="943"/>
      <c r="DI26" s="943"/>
      <c r="DJ26" s="943"/>
      <c r="DK26" s="943">
        <f>SUM(DI26+DJ26)</f>
        <v>0</v>
      </c>
      <c r="DL26" s="943"/>
      <c r="DM26" s="1141">
        <f t="shared" si="11"/>
        <v>0</v>
      </c>
      <c r="DN26" s="1141">
        <f t="shared" si="12"/>
        <v>0</v>
      </c>
      <c r="DO26" s="1141">
        <f t="shared" si="13"/>
        <v>0</v>
      </c>
      <c r="DP26" s="1141">
        <f t="shared" si="14"/>
        <v>0</v>
      </c>
      <c r="DQ26" s="1141">
        <f t="shared" si="14"/>
        <v>0</v>
      </c>
    </row>
    <row r="27" spans="1:121" ht="15" customHeight="1">
      <c r="A27" s="380" t="s">
        <v>708</v>
      </c>
      <c r="B27" s="380"/>
      <c r="C27" s="1153"/>
      <c r="D27" s="1153"/>
      <c r="E27" s="943">
        <f>SUM(C27+D27)</f>
        <v>0</v>
      </c>
      <c r="F27" s="943"/>
      <c r="G27" s="943"/>
      <c r="H27" s="1153"/>
      <c r="I27" s="1153"/>
      <c r="J27" s="943">
        <f t="shared" si="17"/>
        <v>0</v>
      </c>
      <c r="K27" s="943"/>
      <c r="L27" s="943"/>
      <c r="M27" s="1153"/>
      <c r="N27" s="1153"/>
      <c r="O27" s="943">
        <f t="shared" si="18"/>
        <v>0</v>
      </c>
      <c r="P27" s="943"/>
      <c r="Q27" s="943"/>
      <c r="R27" s="1153"/>
      <c r="S27" s="1153"/>
      <c r="T27" s="943">
        <f>SUM(R27+S27)</f>
        <v>0</v>
      </c>
      <c r="U27" s="943"/>
      <c r="V27" s="943"/>
      <c r="W27" s="943"/>
      <c r="X27" s="1153"/>
      <c r="Y27" s="943">
        <f t="shared" si="46"/>
        <v>0</v>
      </c>
      <c r="Z27" s="943"/>
      <c r="AA27" s="943"/>
      <c r="AB27" s="1153"/>
      <c r="AC27" s="1153"/>
      <c r="AD27" s="943">
        <f t="shared" si="19"/>
        <v>0</v>
      </c>
      <c r="AE27" s="943">
        <f t="shared" si="20"/>
        <v>0</v>
      </c>
      <c r="AF27" s="943"/>
      <c r="AG27" s="1153"/>
      <c r="AH27" s="1153"/>
      <c r="AI27" s="943">
        <f t="shared" si="21"/>
        <v>0</v>
      </c>
      <c r="AJ27" s="943">
        <f t="shared" si="22"/>
        <v>0</v>
      </c>
      <c r="AK27" s="943"/>
      <c r="AL27" s="1153"/>
      <c r="AM27" s="1153"/>
      <c r="AN27" s="943">
        <f t="shared" si="23"/>
        <v>0</v>
      </c>
      <c r="AO27" s="943">
        <f t="shared" si="24"/>
        <v>0</v>
      </c>
      <c r="AP27" s="943"/>
      <c r="AQ27" s="943"/>
      <c r="AR27" s="943"/>
      <c r="AS27" s="943">
        <f t="shared" si="25"/>
        <v>0</v>
      </c>
      <c r="AT27" s="943">
        <f t="shared" si="26"/>
        <v>0</v>
      </c>
      <c r="AU27" s="943"/>
      <c r="AV27" s="1153"/>
      <c r="AW27" s="1153"/>
      <c r="AX27" s="943">
        <f t="shared" si="27"/>
        <v>0</v>
      </c>
      <c r="AY27" s="943">
        <f t="shared" si="28"/>
        <v>0</v>
      </c>
      <c r="AZ27" s="943"/>
      <c r="BA27" s="943"/>
      <c r="BB27" s="943"/>
      <c r="BC27" s="943">
        <f t="shared" si="29"/>
        <v>0</v>
      </c>
      <c r="BD27" s="943">
        <f t="shared" si="30"/>
        <v>0</v>
      </c>
      <c r="BE27" s="1160">
        <f t="shared" si="31"/>
        <v>0</v>
      </c>
      <c r="BF27" s="1160">
        <f t="shared" si="32"/>
        <v>0</v>
      </c>
      <c r="BG27" s="1160">
        <f t="shared" si="33"/>
        <v>0</v>
      </c>
      <c r="BH27" s="1141">
        <f t="shared" si="15"/>
        <v>0</v>
      </c>
      <c r="BI27" s="1141">
        <f t="shared" si="16"/>
        <v>0</v>
      </c>
      <c r="BJ27" s="943"/>
      <c r="BK27" s="1153"/>
      <c r="BL27" s="1153"/>
      <c r="BM27" s="943">
        <f t="shared" si="34"/>
        <v>0</v>
      </c>
      <c r="BN27" s="943"/>
      <c r="BO27" s="943"/>
      <c r="BP27" s="1153"/>
      <c r="BQ27" s="1153"/>
      <c r="BR27" s="943">
        <f t="shared" si="35"/>
        <v>0</v>
      </c>
      <c r="BS27" s="943">
        <f t="shared" si="36"/>
        <v>0</v>
      </c>
      <c r="BT27" s="943"/>
      <c r="BU27" s="1153"/>
      <c r="BV27" s="1153"/>
      <c r="BW27" s="943">
        <f t="shared" si="37"/>
        <v>0</v>
      </c>
      <c r="BX27" s="943"/>
      <c r="BY27" s="943"/>
      <c r="BZ27" s="1153"/>
      <c r="CA27" s="1153"/>
      <c r="CB27" s="943">
        <f t="shared" si="38"/>
        <v>0</v>
      </c>
      <c r="CC27" s="943"/>
      <c r="CD27" s="943"/>
      <c r="CE27" s="1153"/>
      <c r="CF27" s="1153"/>
      <c r="CG27" s="943">
        <f t="shared" si="39"/>
        <v>0</v>
      </c>
      <c r="CH27" s="943">
        <f t="shared" si="40"/>
        <v>0</v>
      </c>
      <c r="CI27" s="943"/>
      <c r="CJ27" s="1153"/>
      <c r="CK27" s="1153"/>
      <c r="CL27" s="943">
        <f t="shared" si="41"/>
        <v>0</v>
      </c>
      <c r="CM27" s="943"/>
      <c r="CN27" s="943"/>
      <c r="CO27" s="1153"/>
      <c r="CP27" s="1153"/>
      <c r="CQ27" s="943">
        <f t="shared" si="42"/>
        <v>0</v>
      </c>
      <c r="CR27" s="943">
        <f t="shared" si="43"/>
        <v>0</v>
      </c>
      <c r="CS27" s="943"/>
      <c r="CT27" s="1153"/>
      <c r="CU27" s="1153"/>
      <c r="CV27" s="943">
        <f t="shared" si="44"/>
        <v>0</v>
      </c>
      <c r="CW27" s="943">
        <f t="shared" si="45"/>
        <v>0</v>
      </c>
      <c r="CX27" s="943"/>
      <c r="CY27" s="943"/>
      <c r="CZ27" s="943"/>
      <c r="DA27" s="943">
        <v>0</v>
      </c>
      <c r="DB27" s="943"/>
      <c r="DC27" s="1160">
        <f t="shared" si="7"/>
        <v>0</v>
      </c>
      <c r="DD27" s="1160">
        <f t="shared" si="8"/>
        <v>0</v>
      </c>
      <c r="DE27" s="1160">
        <f t="shared" si="9"/>
        <v>0</v>
      </c>
      <c r="DF27" s="1141">
        <f t="shared" si="10"/>
        <v>0</v>
      </c>
      <c r="DG27" s="1141">
        <f t="shared" si="10"/>
        <v>0</v>
      </c>
      <c r="DH27" s="943"/>
      <c r="DI27" s="943"/>
      <c r="DJ27" s="943"/>
      <c r="DK27" s="943"/>
      <c r="DL27" s="943"/>
      <c r="DM27" s="1141">
        <f t="shared" si="11"/>
        <v>0</v>
      </c>
      <c r="DN27" s="1141">
        <f t="shared" si="12"/>
        <v>0</v>
      </c>
      <c r="DO27" s="1141">
        <f t="shared" si="13"/>
        <v>0</v>
      </c>
      <c r="DP27" s="1141">
        <f t="shared" si="14"/>
        <v>0</v>
      </c>
      <c r="DQ27" s="1141">
        <f t="shared" si="14"/>
        <v>0</v>
      </c>
    </row>
    <row r="28" spans="1:121" ht="15" customHeight="1">
      <c r="A28" s="380" t="s">
        <v>709</v>
      </c>
      <c r="B28" s="380"/>
      <c r="C28" s="1153"/>
      <c r="D28" s="1153"/>
      <c r="E28" s="943">
        <f>SUM(C28+D28)</f>
        <v>0</v>
      </c>
      <c r="F28" s="943"/>
      <c r="G28" s="943"/>
      <c r="H28" s="1153"/>
      <c r="I28" s="1153"/>
      <c r="J28" s="943">
        <f t="shared" si="17"/>
        <v>0</v>
      </c>
      <c r="K28" s="943"/>
      <c r="L28" s="943"/>
      <c r="M28" s="1153"/>
      <c r="N28" s="1153"/>
      <c r="O28" s="943">
        <f t="shared" si="18"/>
        <v>0</v>
      </c>
      <c r="P28" s="943"/>
      <c r="Q28" s="943"/>
      <c r="R28" s="1153"/>
      <c r="S28" s="1153"/>
      <c r="T28" s="943">
        <f>SUM(R28+S28)</f>
        <v>0</v>
      </c>
      <c r="U28" s="943"/>
      <c r="V28" s="943"/>
      <c r="W28" s="943"/>
      <c r="X28" s="1153"/>
      <c r="Y28" s="943">
        <f t="shared" si="46"/>
        <v>0</v>
      </c>
      <c r="Z28" s="943"/>
      <c r="AA28" s="943"/>
      <c r="AB28" s="1153"/>
      <c r="AC28" s="1153"/>
      <c r="AD28" s="943">
        <f t="shared" si="19"/>
        <v>0</v>
      </c>
      <c r="AE28" s="943">
        <f t="shared" si="20"/>
        <v>0</v>
      </c>
      <c r="AF28" s="943"/>
      <c r="AG28" s="943"/>
      <c r="AH28" s="1153"/>
      <c r="AI28" s="943">
        <f t="shared" si="21"/>
        <v>0</v>
      </c>
      <c r="AJ28" s="943">
        <f t="shared" si="22"/>
        <v>0</v>
      </c>
      <c r="AK28" s="943"/>
      <c r="AL28" s="1153"/>
      <c r="AM28" s="1153"/>
      <c r="AN28" s="943">
        <f t="shared" si="23"/>
        <v>0</v>
      </c>
      <c r="AO28" s="943">
        <f t="shared" si="24"/>
        <v>0</v>
      </c>
      <c r="AP28" s="943"/>
      <c r="AQ28" s="943"/>
      <c r="AR28" s="943"/>
      <c r="AS28" s="943">
        <f t="shared" si="25"/>
        <v>0</v>
      </c>
      <c r="AT28" s="943">
        <f t="shared" si="26"/>
        <v>0</v>
      </c>
      <c r="AU28" s="943"/>
      <c r="AV28" s="1153"/>
      <c r="AW28" s="1153"/>
      <c r="AX28" s="943">
        <f t="shared" si="27"/>
        <v>0</v>
      </c>
      <c r="AY28" s="943">
        <f t="shared" si="28"/>
        <v>0</v>
      </c>
      <c r="AZ28" s="943"/>
      <c r="BA28" s="943"/>
      <c r="BB28" s="943"/>
      <c r="BC28" s="943">
        <f t="shared" si="29"/>
        <v>0</v>
      </c>
      <c r="BD28" s="943">
        <f t="shared" si="30"/>
        <v>0</v>
      </c>
      <c r="BE28" s="1160">
        <f t="shared" si="31"/>
        <v>0</v>
      </c>
      <c r="BF28" s="1160">
        <f t="shared" si="32"/>
        <v>0</v>
      </c>
      <c r="BG28" s="1160">
        <f t="shared" si="33"/>
        <v>0</v>
      </c>
      <c r="BH28" s="1141">
        <f t="shared" si="15"/>
        <v>0</v>
      </c>
      <c r="BI28" s="1141">
        <f t="shared" si="16"/>
        <v>0</v>
      </c>
      <c r="BJ28" s="943"/>
      <c r="BK28" s="1153"/>
      <c r="BL28" s="1153"/>
      <c r="BM28" s="943">
        <f t="shared" si="34"/>
        <v>0</v>
      </c>
      <c r="BN28" s="943"/>
      <c r="BO28" s="1153"/>
      <c r="BP28" s="1153"/>
      <c r="BQ28" s="1153"/>
      <c r="BR28" s="943">
        <f t="shared" si="35"/>
        <v>0</v>
      </c>
      <c r="BS28" s="943">
        <f t="shared" si="36"/>
        <v>0</v>
      </c>
      <c r="BT28" s="943"/>
      <c r="BU28" s="1153"/>
      <c r="BV28" s="1153"/>
      <c r="BW28" s="943">
        <f t="shared" si="37"/>
        <v>0</v>
      </c>
      <c r="BX28" s="943"/>
      <c r="BY28" s="943"/>
      <c r="BZ28" s="1153"/>
      <c r="CA28" s="1153"/>
      <c r="CB28" s="943">
        <f t="shared" si="38"/>
        <v>0</v>
      </c>
      <c r="CC28" s="943"/>
      <c r="CD28" s="943"/>
      <c r="CE28" s="1153"/>
      <c r="CF28" s="1153"/>
      <c r="CG28" s="943">
        <f t="shared" si="39"/>
        <v>0</v>
      </c>
      <c r="CH28" s="943">
        <f t="shared" si="40"/>
        <v>0</v>
      </c>
      <c r="CI28" s="943"/>
      <c r="CJ28" s="1153"/>
      <c r="CK28" s="1153"/>
      <c r="CL28" s="943">
        <f t="shared" si="41"/>
        <v>0</v>
      </c>
      <c r="CM28" s="943"/>
      <c r="CN28" s="943"/>
      <c r="CO28" s="1153"/>
      <c r="CP28" s="1153"/>
      <c r="CQ28" s="943">
        <f t="shared" si="42"/>
        <v>0</v>
      </c>
      <c r="CR28" s="943">
        <f t="shared" si="43"/>
        <v>0</v>
      </c>
      <c r="CS28" s="943"/>
      <c r="CT28" s="1153"/>
      <c r="CU28" s="1153"/>
      <c r="CV28" s="943">
        <f t="shared" si="44"/>
        <v>0</v>
      </c>
      <c r="CW28" s="943">
        <f t="shared" si="45"/>
        <v>0</v>
      </c>
      <c r="CX28" s="943"/>
      <c r="CY28" s="943"/>
      <c r="CZ28" s="943"/>
      <c r="DA28" s="943">
        <v>0</v>
      </c>
      <c r="DB28" s="943"/>
      <c r="DC28" s="1160">
        <f t="shared" si="7"/>
        <v>0</v>
      </c>
      <c r="DD28" s="1160">
        <f t="shared" si="8"/>
        <v>0</v>
      </c>
      <c r="DE28" s="1160">
        <f t="shared" si="9"/>
        <v>0</v>
      </c>
      <c r="DF28" s="1141">
        <f t="shared" si="10"/>
        <v>0</v>
      </c>
      <c r="DG28" s="1141">
        <f t="shared" si="10"/>
        <v>0</v>
      </c>
      <c r="DH28" s="943"/>
      <c r="DI28" s="943"/>
      <c r="DJ28" s="943"/>
      <c r="DK28" s="943">
        <f>SUM(DI28+DJ28)</f>
        <v>0</v>
      </c>
      <c r="DL28" s="943"/>
      <c r="DM28" s="1141">
        <f t="shared" si="11"/>
        <v>0</v>
      </c>
      <c r="DN28" s="1141">
        <f t="shared" si="12"/>
        <v>0</v>
      </c>
      <c r="DO28" s="1141">
        <f t="shared" si="13"/>
        <v>0</v>
      </c>
      <c r="DP28" s="1141">
        <f t="shared" si="14"/>
        <v>0</v>
      </c>
      <c r="DQ28" s="1141">
        <f t="shared" si="14"/>
        <v>0</v>
      </c>
    </row>
    <row r="29" spans="1:121" ht="15" customHeight="1">
      <c r="A29" s="380" t="s">
        <v>710</v>
      </c>
      <c r="B29" s="380"/>
      <c r="C29" s="1153"/>
      <c r="D29" s="1153"/>
      <c r="E29" s="943">
        <f>SUM(C29+D29)</f>
        <v>0</v>
      </c>
      <c r="F29" s="943"/>
      <c r="G29" s="943"/>
      <c r="H29" s="1153"/>
      <c r="I29" s="1153"/>
      <c r="J29" s="943">
        <f t="shared" si="17"/>
        <v>0</v>
      </c>
      <c r="K29" s="943"/>
      <c r="L29" s="943"/>
      <c r="M29" s="1153"/>
      <c r="N29" s="1153"/>
      <c r="O29" s="943">
        <f t="shared" si="18"/>
        <v>0</v>
      </c>
      <c r="P29" s="943"/>
      <c r="Q29" s="943"/>
      <c r="R29" s="1153"/>
      <c r="S29" s="1153"/>
      <c r="T29" s="943">
        <f>SUM(R29+S29)</f>
        <v>0</v>
      </c>
      <c r="U29" s="943"/>
      <c r="V29" s="943"/>
      <c r="W29" s="943"/>
      <c r="X29" s="1153"/>
      <c r="Y29" s="943">
        <f t="shared" si="46"/>
        <v>0</v>
      </c>
      <c r="Z29" s="943"/>
      <c r="AA29" s="943"/>
      <c r="AB29" s="1153"/>
      <c r="AC29" s="1153"/>
      <c r="AD29" s="943">
        <f t="shared" si="19"/>
        <v>0</v>
      </c>
      <c r="AE29" s="943">
        <f t="shared" si="20"/>
        <v>0</v>
      </c>
      <c r="AF29" s="943"/>
      <c r="AG29" s="1153"/>
      <c r="AH29" s="1153"/>
      <c r="AI29" s="943">
        <f t="shared" si="21"/>
        <v>0</v>
      </c>
      <c r="AJ29" s="943">
        <f t="shared" si="22"/>
        <v>0</v>
      </c>
      <c r="AK29" s="943"/>
      <c r="AL29" s="1153"/>
      <c r="AM29" s="1153"/>
      <c r="AN29" s="943">
        <f t="shared" si="23"/>
        <v>0</v>
      </c>
      <c r="AO29" s="943">
        <f t="shared" si="24"/>
        <v>0</v>
      </c>
      <c r="AP29" s="943"/>
      <c r="AQ29" s="943"/>
      <c r="AR29" s="943"/>
      <c r="AS29" s="943">
        <f t="shared" si="25"/>
        <v>0</v>
      </c>
      <c r="AT29" s="943">
        <f t="shared" si="26"/>
        <v>0</v>
      </c>
      <c r="AU29" s="943"/>
      <c r="AV29" s="1153"/>
      <c r="AW29" s="1153"/>
      <c r="AX29" s="943">
        <f t="shared" si="27"/>
        <v>0</v>
      </c>
      <c r="AY29" s="943">
        <f t="shared" si="28"/>
        <v>0</v>
      </c>
      <c r="AZ29" s="943"/>
      <c r="BA29" s="943"/>
      <c r="BB29" s="943"/>
      <c r="BC29" s="943">
        <f t="shared" si="29"/>
        <v>0</v>
      </c>
      <c r="BD29" s="943">
        <f t="shared" si="30"/>
        <v>0</v>
      </c>
      <c r="BE29" s="1160">
        <f t="shared" si="31"/>
        <v>0</v>
      </c>
      <c r="BF29" s="1160">
        <f t="shared" si="32"/>
        <v>0</v>
      </c>
      <c r="BG29" s="1160">
        <f t="shared" si="33"/>
        <v>0</v>
      </c>
      <c r="BH29" s="1141">
        <f t="shared" si="15"/>
        <v>0</v>
      </c>
      <c r="BI29" s="1141">
        <f t="shared" si="16"/>
        <v>0</v>
      </c>
      <c r="BJ29" s="943"/>
      <c r="BK29" s="1153"/>
      <c r="BL29" s="1153"/>
      <c r="BM29" s="943">
        <f t="shared" si="34"/>
        <v>0</v>
      </c>
      <c r="BN29" s="943"/>
      <c r="BO29" s="943"/>
      <c r="BP29" s="1153"/>
      <c r="BQ29" s="1153"/>
      <c r="BR29" s="943">
        <f t="shared" si="35"/>
        <v>0</v>
      </c>
      <c r="BS29" s="943">
        <f t="shared" si="36"/>
        <v>0</v>
      </c>
      <c r="BT29" s="943"/>
      <c r="BU29" s="1153"/>
      <c r="BV29" s="1153"/>
      <c r="BW29" s="943">
        <f t="shared" si="37"/>
        <v>0</v>
      </c>
      <c r="BX29" s="943"/>
      <c r="BY29" s="943"/>
      <c r="BZ29" s="1153"/>
      <c r="CA29" s="1153"/>
      <c r="CB29" s="943">
        <f t="shared" si="38"/>
        <v>0</v>
      </c>
      <c r="CC29" s="943"/>
      <c r="CD29" s="943"/>
      <c r="CE29" s="1153"/>
      <c r="CF29" s="1153"/>
      <c r="CG29" s="943">
        <f t="shared" si="39"/>
        <v>0</v>
      </c>
      <c r="CH29" s="943">
        <f t="shared" si="40"/>
        <v>0</v>
      </c>
      <c r="CI29" s="943"/>
      <c r="CJ29" s="1153"/>
      <c r="CK29" s="1153"/>
      <c r="CL29" s="943">
        <f t="shared" si="41"/>
        <v>0</v>
      </c>
      <c r="CM29" s="943"/>
      <c r="CN29" s="943"/>
      <c r="CO29" s="1153"/>
      <c r="CP29" s="1153"/>
      <c r="CQ29" s="943">
        <f t="shared" si="42"/>
        <v>0</v>
      </c>
      <c r="CR29" s="943">
        <f t="shared" si="43"/>
        <v>0</v>
      </c>
      <c r="CS29" s="943"/>
      <c r="CT29" s="1153"/>
      <c r="CU29" s="1153"/>
      <c r="CV29" s="943">
        <f t="shared" si="44"/>
        <v>0</v>
      </c>
      <c r="CW29" s="943">
        <f t="shared" si="45"/>
        <v>0</v>
      </c>
      <c r="CX29" s="943"/>
      <c r="CY29" s="943"/>
      <c r="CZ29" s="943"/>
      <c r="DA29" s="943">
        <v>0</v>
      </c>
      <c r="DB29" s="943"/>
      <c r="DC29" s="1160">
        <f t="shared" si="7"/>
        <v>0</v>
      </c>
      <c r="DD29" s="1160">
        <f t="shared" si="8"/>
        <v>0</v>
      </c>
      <c r="DE29" s="1160">
        <f t="shared" si="9"/>
        <v>0</v>
      </c>
      <c r="DF29" s="1141">
        <f t="shared" si="10"/>
        <v>0</v>
      </c>
      <c r="DG29" s="1141">
        <f t="shared" si="10"/>
        <v>0</v>
      </c>
      <c r="DH29" s="943"/>
      <c r="DI29" s="943"/>
      <c r="DJ29" s="943"/>
      <c r="DK29" s="943">
        <f>SUM(DI29+DJ29)</f>
        <v>0</v>
      </c>
      <c r="DL29" s="943"/>
      <c r="DM29" s="1141">
        <f t="shared" si="11"/>
        <v>0</v>
      </c>
      <c r="DN29" s="1141">
        <f t="shared" si="12"/>
        <v>0</v>
      </c>
      <c r="DO29" s="1141">
        <f t="shared" si="13"/>
        <v>0</v>
      </c>
      <c r="DP29" s="1141">
        <f t="shared" si="14"/>
        <v>0</v>
      </c>
      <c r="DQ29" s="1141">
        <f t="shared" si="14"/>
        <v>0</v>
      </c>
    </row>
    <row r="30" spans="1:121" ht="15" customHeight="1">
      <c r="A30" s="380" t="s">
        <v>711</v>
      </c>
      <c r="B30" s="1153">
        <v>15000000</v>
      </c>
      <c r="C30" s="1153">
        <v>17929128</v>
      </c>
      <c r="D30" s="1153">
        <v>734937</v>
      </c>
      <c r="E30" s="943">
        <v>23905937</v>
      </c>
      <c r="F30" s="943">
        <v>23905937</v>
      </c>
      <c r="G30" s="943"/>
      <c r="H30" s="1153"/>
      <c r="I30" s="1153"/>
      <c r="J30" s="943">
        <f t="shared" si="17"/>
        <v>0</v>
      </c>
      <c r="K30" s="943"/>
      <c r="L30" s="943">
        <v>10000000</v>
      </c>
      <c r="M30" s="1153">
        <v>10000000</v>
      </c>
      <c r="N30" s="1153"/>
      <c r="O30" s="943">
        <v>0</v>
      </c>
      <c r="P30" s="943"/>
      <c r="Q30" s="943"/>
      <c r="R30" s="1153">
        <v>16774720</v>
      </c>
      <c r="S30" s="1153">
        <v>682719</v>
      </c>
      <c r="T30" s="943">
        <v>20838518</v>
      </c>
      <c r="U30" s="943">
        <v>20837518</v>
      </c>
      <c r="V30" s="943">
        <v>5900000</v>
      </c>
      <c r="W30" s="943">
        <f>12132000-6232000</f>
        <v>5900000</v>
      </c>
      <c r="X30" s="1153"/>
      <c r="Y30" s="943">
        <f t="shared" si="46"/>
        <v>5900000</v>
      </c>
      <c r="Z30" s="943">
        <v>5900000</v>
      </c>
      <c r="AA30" s="943"/>
      <c r="AB30" s="1153"/>
      <c r="AC30" s="1153"/>
      <c r="AD30" s="943">
        <f t="shared" si="19"/>
        <v>0</v>
      </c>
      <c r="AE30" s="943">
        <f t="shared" si="20"/>
        <v>0</v>
      </c>
      <c r="AF30" s="943"/>
      <c r="AG30" s="1153"/>
      <c r="AH30" s="1153"/>
      <c r="AI30" s="943">
        <f t="shared" si="21"/>
        <v>0</v>
      </c>
      <c r="AJ30" s="943">
        <f t="shared" si="22"/>
        <v>0</v>
      </c>
      <c r="AK30" s="943"/>
      <c r="AL30" s="1153"/>
      <c r="AM30" s="1153"/>
      <c r="AN30" s="943"/>
      <c r="AO30" s="943">
        <f t="shared" si="24"/>
        <v>0</v>
      </c>
      <c r="AP30" s="943"/>
      <c r="AQ30" s="943"/>
      <c r="AR30" s="943"/>
      <c r="AS30" s="943">
        <f t="shared" si="25"/>
        <v>0</v>
      </c>
      <c r="AT30" s="943">
        <f t="shared" si="26"/>
        <v>0</v>
      </c>
      <c r="AU30" s="943"/>
      <c r="AV30" s="1153"/>
      <c r="AW30" s="1153"/>
      <c r="AX30" s="943"/>
      <c r="AY30" s="943">
        <f t="shared" si="28"/>
        <v>0</v>
      </c>
      <c r="AZ30" s="943"/>
      <c r="BA30" s="943"/>
      <c r="BB30" s="943"/>
      <c r="BC30" s="943"/>
      <c r="BD30" s="943">
        <f t="shared" si="30"/>
        <v>0</v>
      </c>
      <c r="BE30" s="1160">
        <f t="shared" si="31"/>
        <v>30900000</v>
      </c>
      <c r="BF30" s="1160">
        <f t="shared" si="32"/>
        <v>50603848</v>
      </c>
      <c r="BG30" s="1160">
        <f t="shared" si="33"/>
        <v>1417656</v>
      </c>
      <c r="BH30" s="1141">
        <f t="shared" si="15"/>
        <v>50644455</v>
      </c>
      <c r="BI30" s="1141">
        <f t="shared" si="16"/>
        <v>50643455</v>
      </c>
      <c r="BJ30" s="943"/>
      <c r="BK30" s="1153"/>
      <c r="BL30" s="1153"/>
      <c r="BM30" s="943">
        <f t="shared" si="34"/>
        <v>0</v>
      </c>
      <c r="BN30" s="943"/>
      <c r="BO30" s="943"/>
      <c r="BP30" s="1153"/>
      <c r="BQ30" s="1153"/>
      <c r="BR30" s="943">
        <f t="shared" si="35"/>
        <v>0</v>
      </c>
      <c r="BS30" s="943">
        <f t="shared" si="36"/>
        <v>0</v>
      </c>
      <c r="BT30" s="943"/>
      <c r="BU30" s="1153"/>
      <c r="BV30" s="1153"/>
      <c r="BW30" s="943">
        <f t="shared" si="37"/>
        <v>0</v>
      </c>
      <c r="BX30" s="943"/>
      <c r="BY30" s="943"/>
      <c r="BZ30" s="1153"/>
      <c r="CA30" s="1153"/>
      <c r="CB30" s="943">
        <f t="shared" si="38"/>
        <v>0</v>
      </c>
      <c r="CC30" s="943"/>
      <c r="CD30" s="943"/>
      <c r="CE30" s="1153"/>
      <c r="CF30" s="1153"/>
      <c r="CG30" s="943">
        <f t="shared" si="39"/>
        <v>0</v>
      </c>
      <c r="CH30" s="943">
        <f t="shared" si="40"/>
        <v>0</v>
      </c>
      <c r="CI30" s="943"/>
      <c r="CJ30" s="1153"/>
      <c r="CK30" s="1153"/>
      <c r="CL30" s="943">
        <f t="shared" si="41"/>
        <v>0</v>
      </c>
      <c r="CM30" s="943"/>
      <c r="CN30" s="943"/>
      <c r="CO30" s="1153"/>
      <c r="CP30" s="1153"/>
      <c r="CQ30" s="943">
        <f t="shared" si="42"/>
        <v>0</v>
      </c>
      <c r="CR30" s="943">
        <f t="shared" si="43"/>
        <v>0</v>
      </c>
      <c r="CS30" s="943"/>
      <c r="CT30" s="1153"/>
      <c r="CU30" s="1153"/>
      <c r="CV30" s="943">
        <f t="shared" si="44"/>
        <v>0</v>
      </c>
      <c r="CW30" s="943">
        <f t="shared" si="45"/>
        <v>0</v>
      </c>
      <c r="CX30" s="943"/>
      <c r="CY30" s="943"/>
      <c r="CZ30" s="943"/>
      <c r="DA30" s="943">
        <v>0</v>
      </c>
      <c r="DB30" s="943"/>
      <c r="DC30" s="1160">
        <f t="shared" si="7"/>
        <v>0</v>
      </c>
      <c r="DD30" s="1160">
        <f t="shared" si="8"/>
        <v>0</v>
      </c>
      <c r="DE30" s="1160">
        <f t="shared" si="9"/>
        <v>0</v>
      </c>
      <c r="DF30" s="1141">
        <f t="shared" si="10"/>
        <v>0</v>
      </c>
      <c r="DG30" s="1141">
        <f t="shared" si="10"/>
        <v>0</v>
      </c>
      <c r="DH30" s="943"/>
      <c r="DI30" s="943"/>
      <c r="DJ30" s="943"/>
      <c r="DK30" s="943">
        <f>SUM(DI30+DJ30)</f>
        <v>0</v>
      </c>
      <c r="DL30" s="943"/>
      <c r="DM30" s="1141">
        <f t="shared" si="11"/>
        <v>30900000</v>
      </c>
      <c r="DN30" s="1141">
        <f t="shared" si="12"/>
        <v>50603848</v>
      </c>
      <c r="DO30" s="1141">
        <f t="shared" si="13"/>
        <v>1417656</v>
      </c>
      <c r="DP30" s="1141">
        <f t="shared" si="14"/>
        <v>50644455</v>
      </c>
      <c r="DQ30" s="1141">
        <f t="shared" si="14"/>
        <v>50643455</v>
      </c>
    </row>
    <row r="31" spans="1:121" ht="15" customHeight="1">
      <c r="A31" s="380" t="s">
        <v>712</v>
      </c>
      <c r="B31" s="380"/>
      <c r="C31" s="1153"/>
      <c r="D31" s="1153"/>
      <c r="E31" s="943">
        <f>SUM(C31+D31)</f>
        <v>0</v>
      </c>
      <c r="F31" s="943"/>
      <c r="G31" s="943"/>
      <c r="H31" s="1153"/>
      <c r="I31" s="1153"/>
      <c r="J31" s="943">
        <f t="shared" si="17"/>
        <v>0</v>
      </c>
      <c r="K31" s="943"/>
      <c r="L31" s="943"/>
      <c r="M31" s="1153"/>
      <c r="N31" s="1153"/>
      <c r="O31" s="943">
        <f>SUM(M31+N31)</f>
        <v>0</v>
      </c>
      <c r="P31" s="943"/>
      <c r="Q31" s="943"/>
      <c r="R31" s="1153"/>
      <c r="S31" s="1153"/>
      <c r="T31" s="943">
        <f>SUM(R31+S31)</f>
        <v>0</v>
      </c>
      <c r="U31" s="943"/>
      <c r="V31" s="943"/>
      <c r="W31" s="943"/>
      <c r="X31" s="1153"/>
      <c r="Y31" s="943">
        <f t="shared" si="46"/>
        <v>0</v>
      </c>
      <c r="Z31" s="943"/>
      <c r="AA31" s="943"/>
      <c r="AB31" s="1153"/>
      <c r="AC31" s="1153"/>
      <c r="AD31" s="943">
        <f t="shared" si="19"/>
        <v>0</v>
      </c>
      <c r="AE31" s="943">
        <f t="shared" si="20"/>
        <v>0</v>
      </c>
      <c r="AF31" s="943"/>
      <c r="AG31" s="1153"/>
      <c r="AH31" s="1153"/>
      <c r="AI31" s="943">
        <f t="shared" si="21"/>
        <v>0</v>
      </c>
      <c r="AJ31" s="943">
        <f t="shared" si="22"/>
        <v>0</v>
      </c>
      <c r="AK31" s="943"/>
      <c r="AL31" s="1153"/>
      <c r="AM31" s="1153"/>
      <c r="AN31" s="943">
        <f>SUM(AL31+AM31)</f>
        <v>0</v>
      </c>
      <c r="AO31" s="943">
        <f t="shared" si="24"/>
        <v>0</v>
      </c>
      <c r="AP31" s="943"/>
      <c r="AQ31" s="943"/>
      <c r="AR31" s="943"/>
      <c r="AS31" s="943">
        <f t="shared" si="25"/>
        <v>0</v>
      </c>
      <c r="AT31" s="943">
        <f t="shared" si="26"/>
        <v>0</v>
      </c>
      <c r="AU31" s="943"/>
      <c r="AV31" s="1153"/>
      <c r="AW31" s="1153"/>
      <c r="AX31" s="943">
        <f>SUM(AV31+AW31)</f>
        <v>0</v>
      </c>
      <c r="AY31" s="943">
        <f t="shared" si="28"/>
        <v>0</v>
      </c>
      <c r="AZ31" s="943"/>
      <c r="BA31" s="943"/>
      <c r="BB31" s="943"/>
      <c r="BC31" s="943">
        <f>SUM(BA31+BB31)</f>
        <v>0</v>
      </c>
      <c r="BD31" s="943">
        <f t="shared" si="30"/>
        <v>0</v>
      </c>
      <c r="BE31" s="1160">
        <f t="shared" si="31"/>
        <v>0</v>
      </c>
      <c r="BF31" s="1160">
        <f t="shared" si="32"/>
        <v>0</v>
      </c>
      <c r="BG31" s="1160">
        <f t="shared" si="33"/>
        <v>0</v>
      </c>
      <c r="BH31" s="1141">
        <f t="shared" si="15"/>
        <v>0</v>
      </c>
      <c r="BI31" s="1141">
        <f t="shared" si="16"/>
        <v>0</v>
      </c>
      <c r="BJ31" s="943"/>
      <c r="BK31" s="1153"/>
      <c r="BL31" s="1153"/>
      <c r="BM31" s="943">
        <f t="shared" si="34"/>
        <v>0</v>
      </c>
      <c r="BN31" s="943"/>
      <c r="BO31" s="943"/>
      <c r="BP31" s="1153"/>
      <c r="BQ31" s="1153"/>
      <c r="BR31" s="943">
        <f t="shared" si="35"/>
        <v>0</v>
      </c>
      <c r="BS31" s="943">
        <f t="shared" si="36"/>
        <v>0</v>
      </c>
      <c r="BT31" s="943"/>
      <c r="BU31" s="1153"/>
      <c r="BV31" s="1153"/>
      <c r="BW31" s="943">
        <f t="shared" si="37"/>
        <v>0</v>
      </c>
      <c r="BX31" s="943"/>
      <c r="BY31" s="943"/>
      <c r="BZ31" s="1153"/>
      <c r="CA31" s="1153"/>
      <c r="CB31" s="943">
        <f t="shared" si="38"/>
        <v>0</v>
      </c>
      <c r="CC31" s="943"/>
      <c r="CD31" s="943"/>
      <c r="CE31" s="1153"/>
      <c r="CF31" s="1153"/>
      <c r="CG31" s="943">
        <f t="shared" si="39"/>
        <v>0</v>
      </c>
      <c r="CH31" s="943">
        <f t="shared" si="40"/>
        <v>0</v>
      </c>
      <c r="CI31" s="943"/>
      <c r="CJ31" s="1153"/>
      <c r="CK31" s="1153"/>
      <c r="CL31" s="943">
        <f t="shared" si="41"/>
        <v>0</v>
      </c>
      <c r="CM31" s="943"/>
      <c r="CN31" s="943"/>
      <c r="CO31" s="1153"/>
      <c r="CP31" s="1153"/>
      <c r="CQ31" s="943">
        <f t="shared" si="42"/>
        <v>0</v>
      </c>
      <c r="CR31" s="943">
        <f t="shared" si="43"/>
        <v>0</v>
      </c>
      <c r="CS31" s="943"/>
      <c r="CT31" s="1153"/>
      <c r="CU31" s="1153"/>
      <c r="CV31" s="943">
        <f t="shared" si="44"/>
        <v>0</v>
      </c>
      <c r="CW31" s="943">
        <f t="shared" si="45"/>
        <v>0</v>
      </c>
      <c r="CX31" s="943"/>
      <c r="CY31" s="943"/>
      <c r="CZ31" s="943"/>
      <c r="DA31" s="943">
        <v>0</v>
      </c>
      <c r="DB31" s="943"/>
      <c r="DC31" s="1160">
        <f t="shared" si="7"/>
        <v>0</v>
      </c>
      <c r="DD31" s="1160">
        <f t="shared" si="8"/>
        <v>0</v>
      </c>
      <c r="DE31" s="1160">
        <f t="shared" si="9"/>
        <v>0</v>
      </c>
      <c r="DF31" s="1141">
        <f t="shared" si="10"/>
        <v>0</v>
      </c>
      <c r="DG31" s="1141">
        <f t="shared" si="10"/>
        <v>0</v>
      </c>
      <c r="DH31" s="943"/>
      <c r="DI31" s="943"/>
      <c r="DJ31" s="943"/>
      <c r="DK31" s="943">
        <f>SUM(DI31+DJ31)</f>
        <v>0</v>
      </c>
      <c r="DL31" s="943"/>
      <c r="DM31" s="1141">
        <f t="shared" si="11"/>
        <v>0</v>
      </c>
      <c r="DN31" s="1141">
        <f t="shared" si="12"/>
        <v>0</v>
      </c>
      <c r="DO31" s="1141">
        <f t="shared" si="13"/>
        <v>0</v>
      </c>
      <c r="DP31" s="1141">
        <f t="shared" si="14"/>
        <v>0</v>
      </c>
      <c r="DQ31" s="1141">
        <f t="shared" si="14"/>
        <v>0</v>
      </c>
    </row>
    <row r="32" spans="1:121" ht="15" customHeight="1">
      <c r="A32" s="380" t="s">
        <v>713</v>
      </c>
      <c r="B32" s="380"/>
      <c r="C32" s="1153"/>
      <c r="D32" s="1153"/>
      <c r="E32" s="943">
        <f>SUM(C32+D32)</f>
        <v>0</v>
      </c>
      <c r="F32" s="943"/>
      <c r="G32" s="943"/>
      <c r="H32" s="1153"/>
      <c r="I32" s="1153"/>
      <c r="J32" s="943">
        <f t="shared" si="17"/>
        <v>0</v>
      </c>
      <c r="K32" s="943"/>
      <c r="L32" s="943"/>
      <c r="M32" s="1153"/>
      <c r="N32" s="1153"/>
      <c r="O32" s="943">
        <f>SUM(M32+N32)</f>
        <v>0</v>
      </c>
      <c r="P32" s="943"/>
      <c r="Q32" s="943"/>
      <c r="R32" s="1153"/>
      <c r="S32" s="1153"/>
      <c r="T32" s="943">
        <f>SUM(R32+S32)</f>
        <v>0</v>
      </c>
      <c r="U32" s="943"/>
      <c r="V32" s="943"/>
      <c r="W32" s="943"/>
      <c r="X32" s="1153"/>
      <c r="Y32" s="943">
        <f t="shared" si="46"/>
        <v>0</v>
      </c>
      <c r="Z32" s="943"/>
      <c r="AA32" s="943"/>
      <c r="AB32" s="1153"/>
      <c r="AC32" s="1153"/>
      <c r="AD32" s="943">
        <f t="shared" si="19"/>
        <v>0</v>
      </c>
      <c r="AE32" s="943">
        <f t="shared" si="20"/>
        <v>0</v>
      </c>
      <c r="AF32" s="943"/>
      <c r="AG32" s="1153"/>
      <c r="AH32" s="1153"/>
      <c r="AI32" s="943">
        <f t="shared" si="21"/>
        <v>0</v>
      </c>
      <c r="AJ32" s="943">
        <f t="shared" si="22"/>
        <v>0</v>
      </c>
      <c r="AK32" s="943"/>
      <c r="AL32" s="1153"/>
      <c r="AM32" s="1153"/>
      <c r="AN32" s="943">
        <f>SUM(AL32+AM32)</f>
        <v>0</v>
      </c>
      <c r="AO32" s="943">
        <f t="shared" si="24"/>
        <v>0</v>
      </c>
      <c r="AP32" s="943"/>
      <c r="AQ32" s="943"/>
      <c r="AR32" s="943"/>
      <c r="AS32" s="943">
        <f t="shared" si="25"/>
        <v>0</v>
      </c>
      <c r="AT32" s="943">
        <f t="shared" si="26"/>
        <v>0</v>
      </c>
      <c r="AU32" s="943"/>
      <c r="AV32" s="1153"/>
      <c r="AW32" s="1153"/>
      <c r="AX32" s="943">
        <f>SUM(AV32+AW32)</f>
        <v>0</v>
      </c>
      <c r="AY32" s="943">
        <f t="shared" si="28"/>
        <v>0</v>
      </c>
      <c r="AZ32" s="943"/>
      <c r="BA32" s="943"/>
      <c r="BB32" s="943"/>
      <c r="BC32" s="943">
        <f>SUM(BA32+BB32)</f>
        <v>0</v>
      </c>
      <c r="BD32" s="943">
        <f t="shared" si="30"/>
        <v>0</v>
      </c>
      <c r="BE32" s="1160">
        <f t="shared" si="31"/>
        <v>0</v>
      </c>
      <c r="BF32" s="1160">
        <f t="shared" si="32"/>
        <v>0</v>
      </c>
      <c r="BG32" s="1160">
        <f t="shared" si="33"/>
        <v>0</v>
      </c>
      <c r="BH32" s="1141">
        <f t="shared" si="15"/>
        <v>0</v>
      </c>
      <c r="BI32" s="1141">
        <f t="shared" si="16"/>
        <v>0</v>
      </c>
      <c r="BJ32" s="943"/>
      <c r="BK32" s="1153"/>
      <c r="BL32" s="1153"/>
      <c r="BM32" s="943">
        <f t="shared" si="34"/>
        <v>0</v>
      </c>
      <c r="BN32" s="943"/>
      <c r="BO32" s="943"/>
      <c r="BP32" s="1153"/>
      <c r="BQ32" s="1153"/>
      <c r="BR32" s="943">
        <f t="shared" si="35"/>
        <v>0</v>
      </c>
      <c r="BS32" s="943">
        <f t="shared" si="36"/>
        <v>0</v>
      </c>
      <c r="BT32" s="943"/>
      <c r="BU32" s="1153"/>
      <c r="BV32" s="1153"/>
      <c r="BW32" s="943">
        <f t="shared" si="37"/>
        <v>0</v>
      </c>
      <c r="BX32" s="943"/>
      <c r="BY32" s="943"/>
      <c r="BZ32" s="1153"/>
      <c r="CA32" s="1153"/>
      <c r="CB32" s="943">
        <f t="shared" si="38"/>
        <v>0</v>
      </c>
      <c r="CC32" s="943"/>
      <c r="CD32" s="943"/>
      <c r="CE32" s="1153"/>
      <c r="CF32" s="1153"/>
      <c r="CG32" s="943">
        <f t="shared" si="39"/>
        <v>0</v>
      </c>
      <c r="CH32" s="943">
        <f t="shared" si="40"/>
        <v>0</v>
      </c>
      <c r="CI32" s="943"/>
      <c r="CJ32" s="1153"/>
      <c r="CK32" s="1153"/>
      <c r="CL32" s="943">
        <f t="shared" si="41"/>
        <v>0</v>
      </c>
      <c r="CM32" s="943"/>
      <c r="CN32" s="943"/>
      <c r="CO32" s="1153"/>
      <c r="CP32" s="1153"/>
      <c r="CQ32" s="943">
        <f t="shared" si="42"/>
        <v>0</v>
      </c>
      <c r="CR32" s="943">
        <f t="shared" si="43"/>
        <v>0</v>
      </c>
      <c r="CS32" s="943"/>
      <c r="CT32" s="1153"/>
      <c r="CU32" s="1153"/>
      <c r="CV32" s="943">
        <f t="shared" si="44"/>
        <v>0</v>
      </c>
      <c r="CW32" s="943">
        <f t="shared" si="45"/>
        <v>0</v>
      </c>
      <c r="CX32" s="943"/>
      <c r="CY32" s="943"/>
      <c r="CZ32" s="943"/>
      <c r="DA32" s="943">
        <v>0</v>
      </c>
      <c r="DB32" s="943"/>
      <c r="DC32" s="1160">
        <f t="shared" si="7"/>
        <v>0</v>
      </c>
      <c r="DD32" s="1160">
        <f t="shared" si="8"/>
        <v>0</v>
      </c>
      <c r="DE32" s="1160">
        <f t="shared" si="9"/>
        <v>0</v>
      </c>
      <c r="DF32" s="1141">
        <f t="shared" si="10"/>
        <v>0</v>
      </c>
      <c r="DG32" s="1141">
        <f t="shared" si="10"/>
        <v>0</v>
      </c>
      <c r="DH32" s="943"/>
      <c r="DI32" s="943"/>
      <c r="DJ32" s="943"/>
      <c r="DK32" s="943">
        <f>SUM(DI32+DJ32)</f>
        <v>0</v>
      </c>
      <c r="DL32" s="943"/>
      <c r="DM32" s="1141">
        <f t="shared" si="11"/>
        <v>0</v>
      </c>
      <c r="DN32" s="1141">
        <f t="shared" si="12"/>
        <v>0</v>
      </c>
      <c r="DO32" s="1141">
        <f t="shared" si="13"/>
        <v>0</v>
      </c>
      <c r="DP32" s="1141">
        <f t="shared" si="14"/>
        <v>0</v>
      </c>
      <c r="DQ32" s="1141">
        <f t="shared" si="14"/>
        <v>0</v>
      </c>
    </row>
    <row r="33" spans="1:124" ht="15" customHeight="1">
      <c r="A33" s="380" t="s">
        <v>714</v>
      </c>
      <c r="B33" s="380"/>
      <c r="C33" s="1153"/>
      <c r="D33" s="1153"/>
      <c r="E33" s="943">
        <f>SUM(C33+D33)</f>
        <v>0</v>
      </c>
      <c r="F33" s="943"/>
      <c r="G33" s="943"/>
      <c r="H33" s="1153"/>
      <c r="I33" s="1153"/>
      <c r="J33" s="943">
        <f t="shared" si="17"/>
        <v>0</v>
      </c>
      <c r="K33" s="943"/>
      <c r="L33" s="943"/>
      <c r="M33" s="1153"/>
      <c r="N33" s="1153"/>
      <c r="O33" s="943">
        <f>SUM(M33+N33)</f>
        <v>0</v>
      </c>
      <c r="P33" s="943"/>
      <c r="Q33" s="943"/>
      <c r="R33" s="1153"/>
      <c r="S33" s="1153"/>
      <c r="T33" s="943">
        <f>SUM(R33+S33)</f>
        <v>0</v>
      </c>
      <c r="U33" s="943"/>
      <c r="V33" s="943"/>
      <c r="W33" s="943"/>
      <c r="X33" s="1153"/>
      <c r="Y33" s="943">
        <f t="shared" si="46"/>
        <v>0</v>
      </c>
      <c r="Z33" s="943"/>
      <c r="AA33" s="943"/>
      <c r="AB33" s="1153"/>
      <c r="AC33" s="1153"/>
      <c r="AD33" s="943">
        <f t="shared" si="19"/>
        <v>0</v>
      </c>
      <c r="AE33" s="943">
        <f t="shared" si="20"/>
        <v>0</v>
      </c>
      <c r="AF33" s="943"/>
      <c r="AG33" s="1153"/>
      <c r="AH33" s="1153"/>
      <c r="AI33" s="943">
        <f t="shared" si="21"/>
        <v>0</v>
      </c>
      <c r="AJ33" s="943">
        <f t="shared" si="22"/>
        <v>0</v>
      </c>
      <c r="AK33" s="943"/>
      <c r="AL33" s="1153"/>
      <c r="AM33" s="1153"/>
      <c r="AN33" s="943">
        <f>SUM(AL33+AM33)</f>
        <v>0</v>
      </c>
      <c r="AO33" s="943">
        <f t="shared" si="24"/>
        <v>0</v>
      </c>
      <c r="AP33" s="943"/>
      <c r="AQ33" s="943"/>
      <c r="AR33" s="943"/>
      <c r="AS33" s="943">
        <f t="shared" si="25"/>
        <v>0</v>
      </c>
      <c r="AT33" s="943">
        <f t="shared" si="26"/>
        <v>0</v>
      </c>
      <c r="AU33" s="943"/>
      <c r="AV33" s="1153"/>
      <c r="AW33" s="1153"/>
      <c r="AX33" s="943">
        <f>SUM(AV33+AW33)</f>
        <v>0</v>
      </c>
      <c r="AY33" s="943">
        <f t="shared" si="28"/>
        <v>0</v>
      </c>
      <c r="AZ33" s="943"/>
      <c r="BA33" s="943"/>
      <c r="BB33" s="943"/>
      <c r="BC33" s="943">
        <f>SUM(BA33+BB33)</f>
        <v>0</v>
      </c>
      <c r="BD33" s="943">
        <f t="shared" si="30"/>
        <v>0</v>
      </c>
      <c r="BE33" s="1160">
        <f t="shared" si="31"/>
        <v>0</v>
      </c>
      <c r="BF33" s="1160">
        <f t="shared" si="32"/>
        <v>0</v>
      </c>
      <c r="BG33" s="1160">
        <f t="shared" si="33"/>
        <v>0</v>
      </c>
      <c r="BH33" s="1141">
        <f t="shared" si="15"/>
        <v>0</v>
      </c>
      <c r="BI33" s="1141">
        <f t="shared" si="16"/>
        <v>0</v>
      </c>
      <c r="BJ33" s="943"/>
      <c r="BK33" s="1153"/>
      <c r="BL33" s="1153"/>
      <c r="BM33" s="943">
        <f t="shared" si="34"/>
        <v>0</v>
      </c>
      <c r="BN33" s="943"/>
      <c r="BO33" s="943"/>
      <c r="BP33" s="1153"/>
      <c r="BQ33" s="1153"/>
      <c r="BR33" s="943">
        <f t="shared" si="35"/>
        <v>0</v>
      </c>
      <c r="BS33" s="943">
        <f t="shared" si="36"/>
        <v>0</v>
      </c>
      <c r="BT33" s="943"/>
      <c r="BU33" s="1153"/>
      <c r="BV33" s="1153"/>
      <c r="BW33" s="943">
        <f t="shared" si="37"/>
        <v>0</v>
      </c>
      <c r="BX33" s="943"/>
      <c r="BY33" s="943"/>
      <c r="BZ33" s="1153"/>
      <c r="CA33" s="1153"/>
      <c r="CB33" s="943">
        <f t="shared" si="38"/>
        <v>0</v>
      </c>
      <c r="CC33" s="943"/>
      <c r="CD33" s="943"/>
      <c r="CE33" s="1153"/>
      <c r="CF33" s="1153"/>
      <c r="CG33" s="943">
        <f t="shared" si="39"/>
        <v>0</v>
      </c>
      <c r="CH33" s="943">
        <f t="shared" si="40"/>
        <v>0</v>
      </c>
      <c r="CI33" s="943"/>
      <c r="CJ33" s="1153"/>
      <c r="CK33" s="1153"/>
      <c r="CL33" s="943">
        <f t="shared" si="41"/>
        <v>0</v>
      </c>
      <c r="CM33" s="943"/>
      <c r="CN33" s="943"/>
      <c r="CO33" s="1153"/>
      <c r="CP33" s="1153"/>
      <c r="CQ33" s="943">
        <f t="shared" si="42"/>
        <v>0</v>
      </c>
      <c r="CR33" s="943">
        <f t="shared" si="43"/>
        <v>0</v>
      </c>
      <c r="CS33" s="943"/>
      <c r="CT33" s="1153"/>
      <c r="CU33" s="1153"/>
      <c r="CV33" s="943">
        <f t="shared" si="44"/>
        <v>0</v>
      </c>
      <c r="CW33" s="943">
        <f t="shared" si="45"/>
        <v>0</v>
      </c>
      <c r="CX33" s="943"/>
      <c r="CY33" s="943"/>
      <c r="CZ33" s="943"/>
      <c r="DA33" s="943">
        <v>0</v>
      </c>
      <c r="DB33" s="943"/>
      <c r="DC33" s="1160">
        <f t="shared" si="7"/>
        <v>0</v>
      </c>
      <c r="DD33" s="1160">
        <f t="shared" si="8"/>
        <v>0</v>
      </c>
      <c r="DE33" s="1160">
        <f t="shared" si="9"/>
        <v>0</v>
      </c>
      <c r="DF33" s="1141">
        <f t="shared" si="10"/>
        <v>0</v>
      </c>
      <c r="DG33" s="1141">
        <f t="shared" si="10"/>
        <v>0</v>
      </c>
      <c r="DH33" s="943"/>
      <c r="DI33" s="943">
        <v>35000000</v>
      </c>
      <c r="DJ33" s="943"/>
      <c r="DK33" s="943">
        <v>13220017</v>
      </c>
      <c r="DL33" s="943"/>
      <c r="DM33" s="1141">
        <f t="shared" si="11"/>
        <v>0</v>
      </c>
      <c r="DN33" s="1141">
        <f t="shared" si="12"/>
        <v>35000000</v>
      </c>
      <c r="DO33" s="1141">
        <f t="shared" si="13"/>
        <v>0</v>
      </c>
      <c r="DP33" s="1141">
        <f t="shared" si="14"/>
        <v>13220017</v>
      </c>
      <c r="DQ33" s="1141">
        <f t="shared" si="14"/>
        <v>0</v>
      </c>
    </row>
    <row r="34" spans="1:124" ht="15" customHeight="1">
      <c r="A34" s="1161" t="s">
        <v>715</v>
      </c>
      <c r="B34" s="1154">
        <f>SUM(B17:B33)</f>
        <v>174167000</v>
      </c>
      <c r="C34" s="1154">
        <f>SUM(C17:C33)</f>
        <v>194096128</v>
      </c>
      <c r="D34" s="1154">
        <f>SUM(D17:D33)</f>
        <v>734937</v>
      </c>
      <c r="E34" s="1154">
        <f>SUM(E18:E33)</f>
        <v>216042937</v>
      </c>
      <c r="F34" s="1154">
        <f t="shared" ref="F34:AK34" si="47">SUM(F17:F33)</f>
        <v>188389560</v>
      </c>
      <c r="G34" s="1154">
        <f t="shared" si="47"/>
        <v>784745000</v>
      </c>
      <c r="H34" s="1154">
        <f t="shared" si="47"/>
        <v>791095000</v>
      </c>
      <c r="I34" s="1154">
        <f t="shared" si="47"/>
        <v>0</v>
      </c>
      <c r="J34" s="1154">
        <f t="shared" si="47"/>
        <v>791095000</v>
      </c>
      <c r="K34" s="1154">
        <f t="shared" si="47"/>
        <v>617480469</v>
      </c>
      <c r="L34" s="1154">
        <f t="shared" si="47"/>
        <v>155234000</v>
      </c>
      <c r="M34" s="1154">
        <f t="shared" si="47"/>
        <v>155234000</v>
      </c>
      <c r="N34" s="1154">
        <f t="shared" si="47"/>
        <v>0</v>
      </c>
      <c r="O34" s="1154">
        <f t="shared" si="47"/>
        <v>145234000</v>
      </c>
      <c r="P34" s="1154">
        <f t="shared" si="47"/>
        <v>145234658</v>
      </c>
      <c r="Q34" s="1154">
        <f t="shared" si="47"/>
        <v>509705000</v>
      </c>
      <c r="R34" s="1154">
        <f t="shared" si="47"/>
        <v>526479720</v>
      </c>
      <c r="S34" s="1154">
        <f t="shared" si="47"/>
        <v>682719</v>
      </c>
      <c r="T34" s="1154">
        <f t="shared" si="47"/>
        <v>568491753</v>
      </c>
      <c r="U34" s="1154">
        <f t="shared" si="47"/>
        <v>550927172</v>
      </c>
      <c r="V34" s="1154">
        <f t="shared" si="47"/>
        <v>100226000</v>
      </c>
      <c r="W34" s="1154">
        <f t="shared" si="47"/>
        <v>100226000</v>
      </c>
      <c r="X34" s="1154">
        <f t="shared" si="47"/>
        <v>0</v>
      </c>
      <c r="Y34" s="1154">
        <f t="shared" si="47"/>
        <v>101623000</v>
      </c>
      <c r="Z34" s="1154">
        <f t="shared" si="47"/>
        <v>98198943</v>
      </c>
      <c r="AA34" s="1154">
        <f t="shared" si="47"/>
        <v>0</v>
      </c>
      <c r="AB34" s="1154">
        <f t="shared" si="47"/>
        <v>0</v>
      </c>
      <c r="AC34" s="1154">
        <f t="shared" si="47"/>
        <v>0</v>
      </c>
      <c r="AD34" s="1154">
        <f t="shared" si="47"/>
        <v>0</v>
      </c>
      <c r="AE34" s="1154">
        <f t="shared" si="47"/>
        <v>0</v>
      </c>
      <c r="AF34" s="1154">
        <f t="shared" si="47"/>
        <v>0</v>
      </c>
      <c r="AG34" s="1154">
        <f t="shared" si="47"/>
        <v>0</v>
      </c>
      <c r="AH34" s="1154">
        <f t="shared" si="47"/>
        <v>0</v>
      </c>
      <c r="AI34" s="1154">
        <f t="shared" si="47"/>
        <v>0</v>
      </c>
      <c r="AJ34" s="1154">
        <f t="shared" si="47"/>
        <v>0</v>
      </c>
      <c r="AK34" s="1154">
        <f t="shared" si="47"/>
        <v>0</v>
      </c>
      <c r="AL34" s="1154">
        <f t="shared" ref="AL34:BQ34" si="48">SUM(AL17:AL33)</f>
        <v>0</v>
      </c>
      <c r="AM34" s="1154">
        <f t="shared" si="48"/>
        <v>0</v>
      </c>
      <c r="AN34" s="1154">
        <f t="shared" si="48"/>
        <v>0</v>
      </c>
      <c r="AO34" s="1154">
        <f t="shared" si="48"/>
        <v>0</v>
      </c>
      <c r="AP34" s="1154">
        <f t="shared" si="48"/>
        <v>0</v>
      </c>
      <c r="AQ34" s="1154">
        <f t="shared" si="48"/>
        <v>0</v>
      </c>
      <c r="AR34" s="1154">
        <f t="shared" si="48"/>
        <v>0</v>
      </c>
      <c r="AS34" s="1154">
        <f t="shared" si="48"/>
        <v>0</v>
      </c>
      <c r="AT34" s="1154">
        <f t="shared" si="48"/>
        <v>0</v>
      </c>
      <c r="AU34" s="1154">
        <f t="shared" si="48"/>
        <v>0</v>
      </c>
      <c r="AV34" s="1154">
        <f t="shared" si="48"/>
        <v>0</v>
      </c>
      <c r="AW34" s="1154">
        <f t="shared" si="48"/>
        <v>0</v>
      </c>
      <c r="AX34" s="1154">
        <f t="shared" si="48"/>
        <v>0</v>
      </c>
      <c r="AY34" s="1154">
        <f t="shared" si="48"/>
        <v>0</v>
      </c>
      <c r="AZ34" s="1154">
        <f t="shared" si="48"/>
        <v>0</v>
      </c>
      <c r="BA34" s="1154">
        <f t="shared" si="48"/>
        <v>0</v>
      </c>
      <c r="BB34" s="1154">
        <f t="shared" si="48"/>
        <v>0</v>
      </c>
      <c r="BC34" s="1154">
        <f t="shared" si="48"/>
        <v>0</v>
      </c>
      <c r="BD34" s="1154">
        <f t="shared" si="48"/>
        <v>0</v>
      </c>
      <c r="BE34" s="1154">
        <f t="shared" si="48"/>
        <v>1724077000</v>
      </c>
      <c r="BF34" s="1155">
        <f t="shared" si="48"/>
        <v>1767130848</v>
      </c>
      <c r="BG34" s="1155">
        <f t="shared" si="48"/>
        <v>1417656</v>
      </c>
      <c r="BH34" s="1155">
        <f t="shared" si="48"/>
        <v>1822486690</v>
      </c>
      <c r="BI34" s="1155">
        <f t="shared" si="48"/>
        <v>1600230802</v>
      </c>
      <c r="BJ34" s="1154">
        <f t="shared" si="48"/>
        <v>0</v>
      </c>
      <c r="BK34" s="1154">
        <f t="shared" si="48"/>
        <v>0</v>
      </c>
      <c r="BL34" s="1154">
        <f t="shared" si="48"/>
        <v>0</v>
      </c>
      <c r="BM34" s="1154">
        <f t="shared" si="48"/>
        <v>0</v>
      </c>
      <c r="BN34" s="1154">
        <f t="shared" si="48"/>
        <v>0</v>
      </c>
      <c r="BO34" s="1154">
        <f t="shared" si="48"/>
        <v>0</v>
      </c>
      <c r="BP34" s="1154">
        <f t="shared" si="48"/>
        <v>0</v>
      </c>
      <c r="BQ34" s="1154">
        <f t="shared" si="48"/>
        <v>0</v>
      </c>
      <c r="BR34" s="1154">
        <f t="shared" ref="BR34:CW34" si="49">SUM(BR17:BR33)</f>
        <v>0</v>
      </c>
      <c r="BS34" s="1154">
        <f t="shared" si="49"/>
        <v>0</v>
      </c>
      <c r="BT34" s="1154">
        <f t="shared" si="49"/>
        <v>5814000</v>
      </c>
      <c r="BU34" s="1154">
        <f t="shared" si="49"/>
        <v>5814000</v>
      </c>
      <c r="BV34" s="1154">
        <f t="shared" si="49"/>
        <v>-1083334</v>
      </c>
      <c r="BW34" s="1154">
        <f t="shared" si="49"/>
        <v>4730666</v>
      </c>
      <c r="BX34" s="1154">
        <f t="shared" si="49"/>
        <v>0</v>
      </c>
      <c r="BY34" s="1154">
        <f t="shared" si="49"/>
        <v>0</v>
      </c>
      <c r="BZ34" s="1154">
        <f t="shared" si="49"/>
        <v>0</v>
      </c>
      <c r="CA34" s="1154">
        <f t="shared" si="49"/>
        <v>0</v>
      </c>
      <c r="CB34" s="1154">
        <f t="shared" si="49"/>
        <v>0</v>
      </c>
      <c r="CC34" s="1154">
        <f t="shared" si="49"/>
        <v>0</v>
      </c>
      <c r="CD34" s="1154">
        <f t="shared" si="49"/>
        <v>0</v>
      </c>
      <c r="CE34" s="1154">
        <f t="shared" si="49"/>
        <v>0</v>
      </c>
      <c r="CF34" s="1154">
        <f t="shared" si="49"/>
        <v>0</v>
      </c>
      <c r="CG34" s="1154">
        <f t="shared" si="49"/>
        <v>0</v>
      </c>
      <c r="CH34" s="1154">
        <f t="shared" si="49"/>
        <v>0</v>
      </c>
      <c r="CI34" s="1154">
        <f t="shared" si="49"/>
        <v>0</v>
      </c>
      <c r="CJ34" s="1154">
        <f t="shared" si="49"/>
        <v>0</v>
      </c>
      <c r="CK34" s="1154">
        <f t="shared" si="49"/>
        <v>0</v>
      </c>
      <c r="CL34" s="1154">
        <f t="shared" si="49"/>
        <v>0</v>
      </c>
      <c r="CM34" s="1154">
        <f t="shared" si="49"/>
        <v>0</v>
      </c>
      <c r="CN34" s="1154">
        <f t="shared" si="49"/>
        <v>0</v>
      </c>
      <c r="CO34" s="1154">
        <f t="shared" si="49"/>
        <v>0</v>
      </c>
      <c r="CP34" s="1154">
        <f t="shared" si="49"/>
        <v>0</v>
      </c>
      <c r="CQ34" s="1154">
        <f t="shared" si="49"/>
        <v>0</v>
      </c>
      <c r="CR34" s="1154">
        <f t="shared" si="49"/>
        <v>0</v>
      </c>
      <c r="CS34" s="1154">
        <f t="shared" si="49"/>
        <v>0</v>
      </c>
      <c r="CT34" s="1154">
        <f t="shared" si="49"/>
        <v>0</v>
      </c>
      <c r="CU34" s="1154">
        <f t="shared" si="49"/>
        <v>0</v>
      </c>
      <c r="CV34" s="1154">
        <f t="shared" si="49"/>
        <v>0</v>
      </c>
      <c r="CW34" s="1154">
        <f t="shared" si="49"/>
        <v>0</v>
      </c>
      <c r="CX34" s="1154"/>
      <c r="CY34" s="1154"/>
      <c r="CZ34" s="1154"/>
      <c r="DA34" s="1154">
        <f>SUM(DA18:DA33)</f>
        <v>0</v>
      </c>
      <c r="DB34" s="1154"/>
      <c r="DC34" s="1155">
        <f t="shared" ref="DC34:DQ34" si="50">SUM(DC17:DC33)</f>
        <v>5814000</v>
      </c>
      <c r="DD34" s="1155">
        <f t="shared" si="50"/>
        <v>5814000</v>
      </c>
      <c r="DE34" s="1155">
        <f t="shared" si="50"/>
        <v>-1083334</v>
      </c>
      <c r="DF34" s="1155">
        <f t="shared" si="50"/>
        <v>4730666</v>
      </c>
      <c r="DG34" s="1155">
        <f t="shared" si="50"/>
        <v>0</v>
      </c>
      <c r="DH34" s="1154">
        <f t="shared" si="50"/>
        <v>46868000</v>
      </c>
      <c r="DI34" s="1154">
        <f t="shared" si="50"/>
        <v>85517000</v>
      </c>
      <c r="DJ34" s="1154">
        <f t="shared" si="50"/>
        <v>1125000</v>
      </c>
      <c r="DK34" s="1154">
        <f t="shared" si="50"/>
        <v>77982537</v>
      </c>
      <c r="DL34" s="1154">
        <f t="shared" si="50"/>
        <v>43106016</v>
      </c>
      <c r="DM34" s="1155">
        <f t="shared" si="50"/>
        <v>1776759000</v>
      </c>
      <c r="DN34" s="1155">
        <f t="shared" si="50"/>
        <v>1858461848</v>
      </c>
      <c r="DO34" s="1155">
        <f t="shared" si="50"/>
        <v>1459322</v>
      </c>
      <c r="DP34" s="1155">
        <f t="shared" si="50"/>
        <v>1905199893</v>
      </c>
      <c r="DQ34" s="1155">
        <f t="shared" si="50"/>
        <v>1643336818</v>
      </c>
    </row>
    <row r="35" spans="1:124" ht="15" customHeight="1">
      <c r="A35" s="634" t="s">
        <v>26</v>
      </c>
      <c r="B35" s="1153"/>
      <c r="C35" s="1153"/>
      <c r="D35" s="1153"/>
      <c r="E35" s="909">
        <f t="shared" ref="E35:E43" si="51">SUM(C35+D35)</f>
        <v>0</v>
      </c>
      <c r="F35" s="943"/>
      <c r="G35" s="909">
        <v>786000</v>
      </c>
      <c r="H35" s="1153">
        <v>1455290</v>
      </c>
      <c r="I35" s="1153"/>
      <c r="J35" s="909">
        <f>SUM(H35+I35)</f>
        <v>1455290</v>
      </c>
      <c r="K35" s="943">
        <v>1414044</v>
      </c>
      <c r="L35" s="1153"/>
      <c r="M35" s="1153"/>
      <c r="N35" s="1153"/>
      <c r="O35" s="909">
        <f t="shared" ref="O35:O43" si="52">SUM(M35+N35)</f>
        <v>0</v>
      </c>
      <c r="P35" s="943"/>
      <c r="Q35" s="909"/>
      <c r="R35" s="1153"/>
      <c r="S35" s="1153"/>
      <c r="T35" s="909">
        <f t="shared" ref="T35:T43" si="53">SUM(R35+S35)</f>
        <v>0</v>
      </c>
      <c r="U35" s="943"/>
      <c r="V35" s="909"/>
      <c r="W35" s="909"/>
      <c r="X35" s="1153"/>
      <c r="Y35" s="909">
        <f t="shared" ref="Y35:Y43" si="54">SUM(W35+X35)</f>
        <v>0</v>
      </c>
      <c r="Z35" s="943"/>
      <c r="AA35" s="909"/>
      <c r="AB35" s="1153"/>
      <c r="AC35" s="1153"/>
      <c r="AD35" s="909">
        <f t="shared" ref="AD35:AD43" si="55">SUM(AB35+AC35)</f>
        <v>0</v>
      </c>
      <c r="AE35" s="943">
        <f t="shared" ref="AE35:AE43" si="56">AB35-AA35</f>
        <v>0</v>
      </c>
      <c r="AF35" s="909"/>
      <c r="AG35" s="1153"/>
      <c r="AH35" s="1153"/>
      <c r="AI35" s="909">
        <f t="shared" ref="AI35:AI43" si="57">SUM(AG35+AH35)</f>
        <v>0</v>
      </c>
      <c r="AJ35" s="943">
        <f t="shared" ref="AJ35:AJ43" si="58">AG35-AF35</f>
        <v>0</v>
      </c>
      <c r="AK35" s="909"/>
      <c r="AL35" s="1153"/>
      <c r="AM35" s="1153"/>
      <c r="AN35" s="909">
        <f t="shared" ref="AN35:AN43" si="59">SUM(AL35+AM35)</f>
        <v>0</v>
      </c>
      <c r="AO35" s="943">
        <f t="shared" ref="AO35:AO43" si="60">AL35-AK35</f>
        <v>0</v>
      </c>
      <c r="AP35" s="909"/>
      <c r="AQ35" s="909"/>
      <c r="AR35" s="909"/>
      <c r="AS35" s="909">
        <f t="shared" ref="AS35:AS43" si="61">SUM(AQ35+AR35)</f>
        <v>0</v>
      </c>
      <c r="AT35" s="943">
        <f t="shared" ref="AT35:AT43" si="62">AQ35-AP35</f>
        <v>0</v>
      </c>
      <c r="AU35" s="909"/>
      <c r="AV35" s="1153"/>
      <c r="AW35" s="1153"/>
      <c r="AX35" s="909">
        <f t="shared" ref="AX35:AX43" si="63">SUM(AV35+AW35)</f>
        <v>0</v>
      </c>
      <c r="AY35" s="943">
        <f t="shared" ref="AY35:AY43" si="64">AV35-AU35</f>
        <v>0</v>
      </c>
      <c r="AZ35" s="909"/>
      <c r="BA35" s="909"/>
      <c r="BB35" s="909"/>
      <c r="BC35" s="909">
        <f t="shared" ref="BC35:BC43" si="65">SUM(BA35+BB35)</f>
        <v>0</v>
      </c>
      <c r="BD35" s="943">
        <f t="shared" ref="BD35:BD43" si="66">BA35-AZ35</f>
        <v>0</v>
      </c>
      <c r="BE35" s="1160">
        <f t="shared" ref="BE35:BE43" si="67">B35+G35+L35+Q35+V35+AA35+AF35+AK35+AP35+AU35+AZ35</f>
        <v>786000</v>
      </c>
      <c r="BF35" s="1160">
        <f t="shared" ref="BF35:BF43" si="68">C35+H35+M35+R35+W35+AB35+AG35+AL35+AQ35+AV35+BA35</f>
        <v>1455290</v>
      </c>
      <c r="BG35" s="1160">
        <f t="shared" ref="BG35:BG43" si="69">D35+I35+N35+S35+X35+AC35+AH35+AM35+AR35+AW35+BB35</f>
        <v>0</v>
      </c>
      <c r="BH35" s="916">
        <f t="shared" ref="BH35:BI43" si="70">E35+J35+O35+T35+Y35+AD35+AI35+AN35+AS35+AX35+BC35</f>
        <v>1455290</v>
      </c>
      <c r="BI35" s="916">
        <f t="shared" si="70"/>
        <v>1414044</v>
      </c>
      <c r="BJ35" s="909"/>
      <c r="BK35" s="1153"/>
      <c r="BL35" s="1153"/>
      <c r="BM35" s="909">
        <f t="shared" ref="BM35:BM43" si="71">SUM(BK35+BL35)</f>
        <v>0</v>
      </c>
      <c r="BN35" s="943"/>
      <c r="BO35" s="909"/>
      <c r="BP35" s="1153"/>
      <c r="BQ35" s="1153"/>
      <c r="BR35" s="909">
        <f t="shared" ref="BR35:BR43" si="72">SUM(BP35+BQ35)</f>
        <v>0</v>
      </c>
      <c r="BS35" s="943">
        <f t="shared" ref="BS35:BS43" si="73">BP35-BO35</f>
        <v>0</v>
      </c>
      <c r="BT35" s="909"/>
      <c r="BU35" s="1153"/>
      <c r="BV35" s="1153"/>
      <c r="BW35" s="909">
        <f>SUM(BU35+BV35)</f>
        <v>0</v>
      </c>
      <c r="BX35" s="943"/>
      <c r="BY35" s="909"/>
      <c r="BZ35" s="1153"/>
      <c r="CA35" s="1153"/>
      <c r="CB35" s="909">
        <f t="shared" ref="CB35:CB43" si="74">SUM(BZ35+CA35)</f>
        <v>0</v>
      </c>
      <c r="CC35" s="943"/>
      <c r="CD35" s="909"/>
      <c r="CE35" s="1153"/>
      <c r="CF35" s="1153"/>
      <c r="CG35" s="909">
        <f t="shared" ref="CG35:CG43" si="75">SUM(CE35+CF35)</f>
        <v>0</v>
      </c>
      <c r="CH35" s="943">
        <f t="shared" ref="CH35:CH43" si="76">CE35-CD35</f>
        <v>0</v>
      </c>
      <c r="CI35" s="909"/>
      <c r="CJ35" s="1153"/>
      <c r="CK35" s="1153"/>
      <c r="CL35" s="909">
        <f t="shared" ref="CL35:CL43" si="77">SUM(CJ35+CK35)</f>
        <v>0</v>
      </c>
      <c r="CM35" s="943"/>
      <c r="CN35" s="909"/>
      <c r="CO35" s="1153"/>
      <c r="CP35" s="1153"/>
      <c r="CQ35" s="909">
        <f t="shared" ref="CQ35:CQ43" si="78">SUM(CO35+CP35)</f>
        <v>0</v>
      </c>
      <c r="CR35" s="943">
        <f t="shared" ref="CR35:CR43" si="79">CO35-CN35</f>
        <v>0</v>
      </c>
      <c r="CS35" s="909"/>
      <c r="CT35" s="1153"/>
      <c r="CU35" s="1153"/>
      <c r="CV35" s="909">
        <f t="shared" ref="CV35:CV43" si="80">SUM(CT35+CU35)</f>
        <v>0</v>
      </c>
      <c r="CW35" s="943">
        <f t="shared" ref="CW35:CW43" si="81">CT35-CS35</f>
        <v>0</v>
      </c>
      <c r="CX35" s="943"/>
      <c r="CY35" s="943"/>
      <c r="CZ35" s="943"/>
      <c r="DA35" s="943">
        <v>4000000</v>
      </c>
      <c r="DB35" s="943"/>
      <c r="DC35" s="1160">
        <f t="shared" ref="DC35:DC43" si="82">BJ35+BO35+BT35+BY35+CD35+CI35+CN35+CS35</f>
        <v>0</v>
      </c>
      <c r="DD35" s="1160">
        <f>BK35+BP35+BU35+BZ35+CE35+CJ35+CO35+CT35</f>
        <v>0</v>
      </c>
      <c r="DE35" s="1160">
        <f>BL35+BQ35+BV35+CA35+CF35+CK35+CP35+CU35</f>
        <v>0</v>
      </c>
      <c r="DF35" s="1160">
        <f>BM35+BR35+BW35+CB35+CG35+CL35+CQ35+CV35+DA35</f>
        <v>4000000</v>
      </c>
      <c r="DG35" s="916">
        <f t="shared" ref="DG35:DG43" si="83">BN35+BS35+BX35+CC35+CH35+CM35+CR35+CW35</f>
        <v>0</v>
      </c>
      <c r="DH35" s="916"/>
      <c r="DI35" s="909"/>
      <c r="DJ35" s="909"/>
      <c r="DK35" s="909">
        <f t="shared" ref="DK35:DK43" si="84">SUM(DI35:DJ35)</f>
        <v>0</v>
      </c>
      <c r="DL35" s="943"/>
      <c r="DM35" s="1141">
        <f t="shared" ref="DM35:DM43" si="85">BE35+DC35+DH35</f>
        <v>786000</v>
      </c>
      <c r="DN35" s="1141">
        <f>BF35+DD35+DI35</f>
        <v>1455290</v>
      </c>
      <c r="DO35" s="1141">
        <f>BG35+DE35+DJ35</f>
        <v>0</v>
      </c>
      <c r="DP35" s="1141">
        <f>BH35+DF35+DK35</f>
        <v>5455290</v>
      </c>
      <c r="DQ35" s="916">
        <f t="shared" ref="DQ35:DQ43" si="86">BI35+DG35+DL35</f>
        <v>1414044</v>
      </c>
    </row>
    <row r="36" spans="1:124" ht="15" customHeight="1">
      <c r="A36" s="634" t="s">
        <v>28</v>
      </c>
      <c r="C36" s="1153"/>
      <c r="D36" s="1153"/>
      <c r="E36" s="909">
        <f t="shared" si="51"/>
        <v>0</v>
      </c>
      <c r="F36" s="943"/>
      <c r="G36" s="909">
        <v>112977000</v>
      </c>
      <c r="H36" s="1153">
        <f>72390000+55827000-15240000</f>
        <v>112977000</v>
      </c>
      <c r="I36" s="1153"/>
      <c r="J36" s="909">
        <v>136191500</v>
      </c>
      <c r="K36" s="943">
        <v>126080927</v>
      </c>
      <c r="L36" s="1153"/>
      <c r="M36" s="1153"/>
      <c r="N36" s="1153"/>
      <c r="O36" s="909">
        <f t="shared" si="52"/>
        <v>0</v>
      </c>
      <c r="P36" s="943"/>
      <c r="Q36" s="909"/>
      <c r="R36" s="1153"/>
      <c r="S36" s="1153"/>
      <c r="T36" s="909">
        <f t="shared" si="53"/>
        <v>0</v>
      </c>
      <c r="U36" s="943"/>
      <c r="V36" s="909"/>
      <c r="W36" s="909"/>
      <c r="X36" s="1153"/>
      <c r="Y36" s="909">
        <f t="shared" si="54"/>
        <v>0</v>
      </c>
      <c r="Z36" s="943"/>
      <c r="AA36" s="909"/>
      <c r="AB36" s="1153"/>
      <c r="AC36" s="1153"/>
      <c r="AD36" s="909">
        <f t="shared" si="55"/>
        <v>0</v>
      </c>
      <c r="AE36" s="943">
        <f t="shared" si="56"/>
        <v>0</v>
      </c>
      <c r="AF36" s="909"/>
      <c r="AG36" s="1153"/>
      <c r="AH36" s="1153"/>
      <c r="AI36" s="909">
        <f t="shared" si="57"/>
        <v>0</v>
      </c>
      <c r="AJ36" s="943">
        <f t="shared" si="58"/>
        <v>0</v>
      </c>
      <c r="AK36" s="909"/>
      <c r="AL36" s="1153"/>
      <c r="AM36" s="1153"/>
      <c r="AN36" s="909">
        <f t="shared" si="59"/>
        <v>0</v>
      </c>
      <c r="AO36" s="943">
        <f t="shared" si="60"/>
        <v>0</v>
      </c>
      <c r="AP36" s="909"/>
      <c r="AQ36" s="909"/>
      <c r="AR36" s="909"/>
      <c r="AS36" s="909">
        <f t="shared" si="61"/>
        <v>0</v>
      </c>
      <c r="AT36" s="943">
        <f t="shared" si="62"/>
        <v>0</v>
      </c>
      <c r="AU36" s="909"/>
      <c r="AV36" s="1153"/>
      <c r="AW36" s="1153"/>
      <c r="AX36" s="909">
        <f t="shared" si="63"/>
        <v>0</v>
      </c>
      <c r="AY36" s="943">
        <f t="shared" si="64"/>
        <v>0</v>
      </c>
      <c r="AZ36" s="909"/>
      <c r="BA36" s="909"/>
      <c r="BB36" s="909"/>
      <c r="BC36" s="909">
        <f t="shared" si="65"/>
        <v>0</v>
      </c>
      <c r="BD36" s="943">
        <f t="shared" si="66"/>
        <v>0</v>
      </c>
      <c r="BE36" s="1160">
        <f t="shared" si="67"/>
        <v>112977000</v>
      </c>
      <c r="BF36" s="1160">
        <f t="shared" si="68"/>
        <v>112977000</v>
      </c>
      <c r="BG36" s="1160">
        <f t="shared" si="69"/>
        <v>0</v>
      </c>
      <c r="BH36" s="916">
        <f t="shared" si="70"/>
        <v>136191500</v>
      </c>
      <c r="BI36" s="916">
        <f t="shared" si="70"/>
        <v>126080927</v>
      </c>
      <c r="BJ36" s="909"/>
      <c r="BK36" s="1153"/>
      <c r="BL36" s="1153"/>
      <c r="BM36" s="909">
        <f t="shared" si="71"/>
        <v>0</v>
      </c>
      <c r="BN36" s="943"/>
      <c r="BO36" s="909"/>
      <c r="BP36" s="1153"/>
      <c r="BQ36" s="1153"/>
      <c r="BR36" s="909">
        <f t="shared" si="72"/>
        <v>0</v>
      </c>
      <c r="BS36" s="943">
        <f t="shared" si="73"/>
        <v>0</v>
      </c>
      <c r="BT36" s="909"/>
      <c r="BU36" s="1153"/>
      <c r="BV36" s="1153"/>
      <c r="BW36" s="909">
        <f>SUM(BU36+BV36)</f>
        <v>0</v>
      </c>
      <c r="BX36" s="943"/>
      <c r="BY36" s="909"/>
      <c r="BZ36" s="1153"/>
      <c r="CA36" s="1153"/>
      <c r="CB36" s="909">
        <f t="shared" si="74"/>
        <v>0</v>
      </c>
      <c r="CC36" s="943"/>
      <c r="CD36" s="909"/>
      <c r="CE36" s="1153"/>
      <c r="CF36" s="1153"/>
      <c r="CG36" s="909">
        <f t="shared" si="75"/>
        <v>0</v>
      </c>
      <c r="CH36" s="943">
        <f t="shared" si="76"/>
        <v>0</v>
      </c>
      <c r="CI36" s="909"/>
      <c r="CJ36" s="1153"/>
      <c r="CK36" s="1153"/>
      <c r="CL36" s="909">
        <f t="shared" si="77"/>
        <v>0</v>
      </c>
      <c r="CM36" s="943"/>
      <c r="CN36" s="909"/>
      <c r="CO36" s="1153"/>
      <c r="CP36" s="1153"/>
      <c r="CQ36" s="909">
        <f t="shared" si="78"/>
        <v>0</v>
      </c>
      <c r="CR36" s="943">
        <f t="shared" si="79"/>
        <v>0</v>
      </c>
      <c r="CS36" s="909"/>
      <c r="CT36" s="1153"/>
      <c r="CU36" s="1153"/>
      <c r="CV36" s="909">
        <f t="shared" si="80"/>
        <v>0</v>
      </c>
      <c r="CW36" s="943">
        <f t="shared" si="81"/>
        <v>0</v>
      </c>
      <c r="CX36" s="943"/>
      <c r="CY36" s="943"/>
      <c r="CZ36" s="943"/>
      <c r="DA36" s="943">
        <v>0</v>
      </c>
      <c r="DB36" s="943"/>
      <c r="DC36" s="1160">
        <f t="shared" si="82"/>
        <v>0</v>
      </c>
      <c r="DD36" s="1160">
        <f t="shared" ref="DD36:DD43" si="87">BK36+BP36+BU36+BZ36+CE36+CJ36+CO36+CT36</f>
        <v>0</v>
      </c>
      <c r="DE36" s="1160">
        <f t="shared" ref="DE36:DE43" si="88">BL36+BQ36+BV36+CA36+CF36+CK36+CP36+CU36</f>
        <v>0</v>
      </c>
      <c r="DF36" s="1160">
        <f t="shared" ref="DF36:DF43" si="89">BM36+BR36+BW36+CB36+CG36+CL36+CQ36+CV36+DA36</f>
        <v>0</v>
      </c>
      <c r="DG36" s="916">
        <f t="shared" si="83"/>
        <v>0</v>
      </c>
      <c r="DH36" s="916"/>
      <c r="DI36" s="909"/>
      <c r="DJ36" s="909"/>
      <c r="DK36" s="909">
        <f t="shared" si="84"/>
        <v>0</v>
      </c>
      <c r="DL36" s="943"/>
      <c r="DM36" s="1141">
        <f t="shared" si="85"/>
        <v>112977000</v>
      </c>
      <c r="DN36" s="1141">
        <f t="shared" ref="DN36:DN43" si="90">BF36+DD36+DI36</f>
        <v>112977000</v>
      </c>
      <c r="DO36" s="1141">
        <f t="shared" ref="DO36:DO43" si="91">BG36+DE36+DJ36</f>
        <v>0</v>
      </c>
      <c r="DP36" s="1141">
        <f t="shared" ref="DP36:DP43" si="92">BH36+DF36+DK36</f>
        <v>136191500</v>
      </c>
      <c r="DQ36" s="916">
        <f t="shared" si="86"/>
        <v>126080927</v>
      </c>
      <c r="DT36" s="632"/>
    </row>
    <row r="37" spans="1:124" ht="15" hidden="1" customHeight="1">
      <c r="A37" s="634" t="s">
        <v>30</v>
      </c>
      <c r="C37" s="1153"/>
      <c r="D37" s="1153"/>
      <c r="E37" s="909">
        <f t="shared" si="51"/>
        <v>0</v>
      </c>
      <c r="F37" s="943"/>
      <c r="G37" s="909"/>
      <c r="H37" s="1153"/>
      <c r="I37" s="1153"/>
      <c r="J37" s="909">
        <f t="shared" ref="J37:J43" si="93">SUM(H37+I37)</f>
        <v>0</v>
      </c>
      <c r="K37" s="943"/>
      <c r="L37" s="909"/>
      <c r="M37" s="1153"/>
      <c r="N37" s="1153"/>
      <c r="O37" s="909">
        <f t="shared" si="52"/>
        <v>0</v>
      </c>
      <c r="P37" s="943"/>
      <c r="Q37" s="909"/>
      <c r="R37" s="1153"/>
      <c r="S37" s="1153"/>
      <c r="T37" s="909">
        <f t="shared" si="53"/>
        <v>0</v>
      </c>
      <c r="U37" s="943"/>
      <c r="V37" s="909"/>
      <c r="W37" s="909"/>
      <c r="X37" s="1153"/>
      <c r="Y37" s="909">
        <f t="shared" si="54"/>
        <v>0</v>
      </c>
      <c r="Z37" s="943"/>
      <c r="AA37" s="909"/>
      <c r="AB37" s="1153"/>
      <c r="AC37" s="1153"/>
      <c r="AD37" s="909">
        <f t="shared" si="55"/>
        <v>0</v>
      </c>
      <c r="AE37" s="943">
        <f t="shared" si="56"/>
        <v>0</v>
      </c>
      <c r="AF37" s="909"/>
      <c r="AG37" s="1153"/>
      <c r="AH37" s="1153"/>
      <c r="AI37" s="909">
        <f t="shared" si="57"/>
        <v>0</v>
      </c>
      <c r="AJ37" s="943">
        <f t="shared" si="58"/>
        <v>0</v>
      </c>
      <c r="AK37" s="909"/>
      <c r="AL37" s="1153"/>
      <c r="AM37" s="1153"/>
      <c r="AN37" s="909">
        <f t="shared" si="59"/>
        <v>0</v>
      </c>
      <c r="AO37" s="943">
        <f t="shared" si="60"/>
        <v>0</v>
      </c>
      <c r="AP37" s="909"/>
      <c r="AQ37" s="909"/>
      <c r="AR37" s="909"/>
      <c r="AS37" s="909">
        <f t="shared" si="61"/>
        <v>0</v>
      </c>
      <c r="AT37" s="943">
        <f t="shared" si="62"/>
        <v>0</v>
      </c>
      <c r="AU37" s="909"/>
      <c r="AV37" s="1153"/>
      <c r="AW37" s="1153"/>
      <c r="AX37" s="909">
        <f t="shared" si="63"/>
        <v>0</v>
      </c>
      <c r="AY37" s="943">
        <f t="shared" si="64"/>
        <v>0</v>
      </c>
      <c r="AZ37" s="909"/>
      <c r="BA37" s="909"/>
      <c r="BB37" s="909"/>
      <c r="BC37" s="909">
        <f t="shared" si="65"/>
        <v>0</v>
      </c>
      <c r="BD37" s="943">
        <f t="shared" si="66"/>
        <v>0</v>
      </c>
      <c r="BE37" s="1160">
        <f t="shared" si="67"/>
        <v>0</v>
      </c>
      <c r="BF37" s="1160">
        <f t="shared" si="68"/>
        <v>0</v>
      </c>
      <c r="BG37" s="1160">
        <f t="shared" si="69"/>
        <v>0</v>
      </c>
      <c r="BH37" s="916">
        <f t="shared" si="70"/>
        <v>0</v>
      </c>
      <c r="BI37" s="916">
        <f t="shared" si="70"/>
        <v>0</v>
      </c>
      <c r="BJ37" s="909"/>
      <c r="BK37" s="1153"/>
      <c r="BL37" s="1153"/>
      <c r="BM37" s="909">
        <f t="shared" si="71"/>
        <v>0</v>
      </c>
      <c r="BN37" s="943"/>
      <c r="BO37" s="909"/>
      <c r="BP37" s="1153"/>
      <c r="BQ37" s="1153"/>
      <c r="BR37" s="909">
        <f t="shared" si="72"/>
        <v>0</v>
      </c>
      <c r="BS37" s="943">
        <f t="shared" si="73"/>
        <v>0</v>
      </c>
      <c r="BT37" s="909"/>
      <c r="BU37" s="1153"/>
      <c r="BV37" s="1153"/>
      <c r="BW37" s="909">
        <f>SUM(BU37+BV37)</f>
        <v>0</v>
      </c>
      <c r="BX37" s="943"/>
      <c r="BY37" s="909"/>
      <c r="BZ37" s="1153"/>
      <c r="CA37" s="1153"/>
      <c r="CB37" s="909">
        <f t="shared" si="74"/>
        <v>0</v>
      </c>
      <c r="CC37" s="943"/>
      <c r="CD37" s="909"/>
      <c r="CE37" s="1153"/>
      <c r="CF37" s="1153"/>
      <c r="CG37" s="909">
        <f t="shared" si="75"/>
        <v>0</v>
      </c>
      <c r="CH37" s="943">
        <f t="shared" si="76"/>
        <v>0</v>
      </c>
      <c r="CI37" s="909"/>
      <c r="CJ37" s="1153"/>
      <c r="CK37" s="1153"/>
      <c r="CL37" s="909">
        <f t="shared" si="77"/>
        <v>0</v>
      </c>
      <c r="CM37" s="943"/>
      <c r="CN37" s="909"/>
      <c r="CO37" s="1153"/>
      <c r="CP37" s="1153"/>
      <c r="CQ37" s="909">
        <f t="shared" si="78"/>
        <v>0</v>
      </c>
      <c r="CR37" s="943">
        <f t="shared" si="79"/>
        <v>0</v>
      </c>
      <c r="CS37" s="909"/>
      <c r="CT37" s="1153"/>
      <c r="CU37" s="1153"/>
      <c r="CV37" s="909">
        <f t="shared" si="80"/>
        <v>0</v>
      </c>
      <c r="CW37" s="943">
        <f t="shared" si="81"/>
        <v>0</v>
      </c>
      <c r="CX37" s="943"/>
      <c r="CY37" s="943"/>
      <c r="CZ37" s="943"/>
      <c r="DA37" s="943"/>
      <c r="DB37" s="943"/>
      <c r="DC37" s="1160">
        <f t="shared" si="82"/>
        <v>0</v>
      </c>
      <c r="DD37" s="1160">
        <f t="shared" si="87"/>
        <v>0</v>
      </c>
      <c r="DE37" s="1160">
        <f t="shared" si="88"/>
        <v>0</v>
      </c>
      <c r="DF37" s="1160">
        <f t="shared" si="89"/>
        <v>0</v>
      </c>
      <c r="DG37" s="916">
        <f t="shared" si="83"/>
        <v>0</v>
      </c>
      <c r="DH37" s="916"/>
      <c r="DI37" s="909"/>
      <c r="DJ37" s="909"/>
      <c r="DK37" s="909">
        <f t="shared" si="84"/>
        <v>0</v>
      </c>
      <c r="DL37" s="943"/>
      <c r="DM37" s="1141">
        <f t="shared" si="85"/>
        <v>0</v>
      </c>
      <c r="DN37" s="1141">
        <f t="shared" si="90"/>
        <v>0</v>
      </c>
      <c r="DO37" s="1141">
        <f t="shared" si="91"/>
        <v>0</v>
      </c>
      <c r="DP37" s="1141">
        <f t="shared" si="92"/>
        <v>0</v>
      </c>
      <c r="DQ37" s="916">
        <f t="shared" si="86"/>
        <v>0</v>
      </c>
    </row>
    <row r="38" spans="1:124" ht="15" customHeight="1">
      <c r="A38" s="380" t="s">
        <v>716</v>
      </c>
      <c r="B38" s="380"/>
      <c r="C38" s="1153"/>
      <c r="D38" s="1153"/>
      <c r="E38" s="909">
        <f t="shared" si="51"/>
        <v>0</v>
      </c>
      <c r="F38" s="943"/>
      <c r="G38" s="909"/>
      <c r="H38" s="1153"/>
      <c r="I38" s="1153"/>
      <c r="J38" s="909">
        <f t="shared" si="93"/>
        <v>0</v>
      </c>
      <c r="K38" s="943"/>
      <c r="L38" s="909"/>
      <c r="M38" s="1153"/>
      <c r="N38" s="1153"/>
      <c r="O38" s="909">
        <f t="shared" si="52"/>
        <v>0</v>
      </c>
      <c r="P38" s="943"/>
      <c r="Q38" s="909"/>
      <c r="R38" s="1153"/>
      <c r="S38" s="1153"/>
      <c r="T38" s="909">
        <f t="shared" si="53"/>
        <v>0</v>
      </c>
      <c r="U38" s="943"/>
      <c r="V38" s="909"/>
      <c r="W38" s="909"/>
      <c r="X38" s="1153"/>
      <c r="Y38" s="909">
        <f t="shared" si="54"/>
        <v>0</v>
      </c>
      <c r="Z38" s="943"/>
      <c r="AA38" s="909"/>
      <c r="AB38" s="1153"/>
      <c r="AC38" s="1153"/>
      <c r="AD38" s="909">
        <f t="shared" si="55"/>
        <v>0</v>
      </c>
      <c r="AE38" s="943">
        <f t="shared" si="56"/>
        <v>0</v>
      </c>
      <c r="AF38" s="909"/>
      <c r="AG38" s="1153"/>
      <c r="AH38" s="1153"/>
      <c r="AI38" s="909">
        <f t="shared" si="57"/>
        <v>0</v>
      </c>
      <c r="AJ38" s="943">
        <f t="shared" si="58"/>
        <v>0</v>
      </c>
      <c r="AK38" s="909"/>
      <c r="AL38" s="1153"/>
      <c r="AM38" s="1153"/>
      <c r="AN38" s="909">
        <f t="shared" si="59"/>
        <v>0</v>
      </c>
      <c r="AO38" s="943">
        <f t="shared" si="60"/>
        <v>0</v>
      </c>
      <c r="AP38" s="909"/>
      <c r="AQ38" s="909"/>
      <c r="AR38" s="909"/>
      <c r="AS38" s="909">
        <f t="shared" si="61"/>
        <v>0</v>
      </c>
      <c r="AT38" s="943">
        <f t="shared" si="62"/>
        <v>0</v>
      </c>
      <c r="AU38" s="909"/>
      <c r="AV38" s="1153"/>
      <c r="AW38" s="1153"/>
      <c r="AX38" s="909">
        <f t="shared" si="63"/>
        <v>0</v>
      </c>
      <c r="AY38" s="943">
        <f t="shared" si="64"/>
        <v>0</v>
      </c>
      <c r="AZ38" s="909"/>
      <c r="BA38" s="909"/>
      <c r="BB38" s="909"/>
      <c r="BC38" s="909">
        <f t="shared" si="65"/>
        <v>0</v>
      </c>
      <c r="BD38" s="943">
        <f t="shared" si="66"/>
        <v>0</v>
      </c>
      <c r="BE38" s="1160">
        <f t="shared" si="67"/>
        <v>0</v>
      </c>
      <c r="BF38" s="1160">
        <f t="shared" si="68"/>
        <v>0</v>
      </c>
      <c r="BG38" s="1160">
        <f t="shared" si="69"/>
        <v>0</v>
      </c>
      <c r="BH38" s="916">
        <f t="shared" si="70"/>
        <v>0</v>
      </c>
      <c r="BI38" s="916">
        <f t="shared" si="70"/>
        <v>0</v>
      </c>
      <c r="BJ38" s="909"/>
      <c r="BK38" s="1153"/>
      <c r="BL38" s="1153"/>
      <c r="BM38" s="909">
        <f t="shared" si="71"/>
        <v>0</v>
      </c>
      <c r="BN38" s="943"/>
      <c r="BO38" s="909"/>
      <c r="BP38" s="1153"/>
      <c r="BQ38" s="1153"/>
      <c r="BR38" s="909">
        <f t="shared" si="72"/>
        <v>0</v>
      </c>
      <c r="BS38" s="943">
        <f t="shared" si="73"/>
        <v>0</v>
      </c>
      <c r="BT38" s="909"/>
      <c r="BU38" s="1153"/>
      <c r="BV38" s="1153"/>
      <c r="BW38" s="909">
        <f>SUM(BU38+BV38)</f>
        <v>0</v>
      </c>
      <c r="BX38" s="943"/>
      <c r="BY38" s="909"/>
      <c r="BZ38" s="1153"/>
      <c r="CA38" s="1153"/>
      <c r="CB38" s="909">
        <f t="shared" si="74"/>
        <v>0</v>
      </c>
      <c r="CC38" s="943"/>
      <c r="CD38" s="909"/>
      <c r="CE38" s="1153"/>
      <c r="CF38" s="1153"/>
      <c r="CG38" s="909">
        <f t="shared" si="75"/>
        <v>0</v>
      </c>
      <c r="CH38" s="943">
        <f t="shared" si="76"/>
        <v>0</v>
      </c>
      <c r="CI38" s="909"/>
      <c r="CJ38" s="1153"/>
      <c r="CK38" s="1153"/>
      <c r="CL38" s="909">
        <f t="shared" si="77"/>
        <v>0</v>
      </c>
      <c r="CM38" s="943"/>
      <c r="CN38" s="909"/>
      <c r="CO38" s="1153"/>
      <c r="CP38" s="1153"/>
      <c r="CQ38" s="909">
        <f t="shared" si="78"/>
        <v>0</v>
      </c>
      <c r="CR38" s="943">
        <f t="shared" si="79"/>
        <v>0</v>
      </c>
      <c r="CS38" s="909"/>
      <c r="CT38" s="1153"/>
      <c r="CU38" s="1153"/>
      <c r="CV38" s="909">
        <f t="shared" si="80"/>
        <v>0</v>
      </c>
      <c r="CW38" s="943">
        <f t="shared" si="81"/>
        <v>0</v>
      </c>
      <c r="CX38" s="943"/>
      <c r="CY38" s="943"/>
      <c r="CZ38" s="943"/>
      <c r="DA38" s="943">
        <v>0</v>
      </c>
      <c r="DB38" s="943"/>
      <c r="DC38" s="1160">
        <f t="shared" si="82"/>
        <v>0</v>
      </c>
      <c r="DD38" s="1160">
        <f t="shared" si="87"/>
        <v>0</v>
      </c>
      <c r="DE38" s="1160">
        <f t="shared" si="88"/>
        <v>0</v>
      </c>
      <c r="DF38" s="1160">
        <f t="shared" si="89"/>
        <v>0</v>
      </c>
      <c r="DG38" s="916">
        <f t="shared" si="83"/>
        <v>0</v>
      </c>
      <c r="DH38" s="916"/>
      <c r="DI38" s="909"/>
      <c r="DJ38" s="909"/>
      <c r="DK38" s="909">
        <f t="shared" si="84"/>
        <v>0</v>
      </c>
      <c r="DL38" s="943"/>
      <c r="DM38" s="1141">
        <f t="shared" si="85"/>
        <v>0</v>
      </c>
      <c r="DN38" s="1141">
        <f t="shared" si="90"/>
        <v>0</v>
      </c>
      <c r="DO38" s="1141">
        <f t="shared" si="91"/>
        <v>0</v>
      </c>
      <c r="DP38" s="1141">
        <f t="shared" si="92"/>
        <v>0</v>
      </c>
      <c r="DQ38" s="916">
        <f t="shared" si="86"/>
        <v>0</v>
      </c>
    </row>
    <row r="39" spans="1:124" ht="15" customHeight="1">
      <c r="A39" s="380" t="s">
        <v>717</v>
      </c>
      <c r="B39" s="380"/>
      <c r="C39" s="1153"/>
      <c r="D39" s="1153"/>
      <c r="E39" s="909">
        <f t="shared" si="51"/>
        <v>0</v>
      </c>
      <c r="F39" s="943"/>
      <c r="G39" s="909"/>
      <c r="H39" s="1153"/>
      <c r="I39" s="1153"/>
      <c r="J39" s="909">
        <f t="shared" si="93"/>
        <v>0</v>
      </c>
      <c r="K39" s="943"/>
      <c r="L39" s="909"/>
      <c r="M39" s="1153"/>
      <c r="N39" s="1153"/>
      <c r="O39" s="909">
        <f t="shared" si="52"/>
        <v>0</v>
      </c>
      <c r="P39" s="943"/>
      <c r="Q39" s="909"/>
      <c r="R39" s="1153"/>
      <c r="S39" s="1153"/>
      <c r="T39" s="909">
        <f t="shared" si="53"/>
        <v>0</v>
      </c>
      <c r="U39" s="943"/>
      <c r="V39" s="909"/>
      <c r="W39" s="909"/>
      <c r="X39" s="1153"/>
      <c r="Y39" s="909">
        <f t="shared" si="54"/>
        <v>0</v>
      </c>
      <c r="Z39" s="943"/>
      <c r="AA39" s="909"/>
      <c r="AB39" s="1153"/>
      <c r="AC39" s="1153"/>
      <c r="AD39" s="909">
        <f t="shared" si="55"/>
        <v>0</v>
      </c>
      <c r="AE39" s="943">
        <f t="shared" si="56"/>
        <v>0</v>
      </c>
      <c r="AF39" s="909"/>
      <c r="AG39" s="1153"/>
      <c r="AH39" s="1153"/>
      <c r="AI39" s="909">
        <f t="shared" si="57"/>
        <v>0</v>
      </c>
      <c r="AJ39" s="943">
        <f t="shared" si="58"/>
        <v>0</v>
      </c>
      <c r="AK39" s="909"/>
      <c r="AL39" s="1153"/>
      <c r="AM39" s="1153"/>
      <c r="AN39" s="909">
        <f t="shared" si="59"/>
        <v>0</v>
      </c>
      <c r="AO39" s="943">
        <f t="shared" si="60"/>
        <v>0</v>
      </c>
      <c r="AP39" s="909"/>
      <c r="AQ39" s="909"/>
      <c r="AR39" s="909"/>
      <c r="AS39" s="909">
        <f t="shared" si="61"/>
        <v>0</v>
      </c>
      <c r="AT39" s="943">
        <f t="shared" si="62"/>
        <v>0</v>
      </c>
      <c r="AU39" s="909"/>
      <c r="AV39" s="1153"/>
      <c r="AW39" s="1153"/>
      <c r="AX39" s="909">
        <f t="shared" si="63"/>
        <v>0</v>
      </c>
      <c r="AY39" s="943">
        <f t="shared" si="64"/>
        <v>0</v>
      </c>
      <c r="AZ39" s="909"/>
      <c r="BA39" s="909"/>
      <c r="BB39" s="909"/>
      <c r="BC39" s="909">
        <f t="shared" si="65"/>
        <v>0</v>
      </c>
      <c r="BD39" s="943">
        <f t="shared" si="66"/>
        <v>0</v>
      </c>
      <c r="BE39" s="1160">
        <f t="shared" si="67"/>
        <v>0</v>
      </c>
      <c r="BF39" s="1160">
        <f t="shared" si="68"/>
        <v>0</v>
      </c>
      <c r="BG39" s="1160">
        <f t="shared" si="69"/>
        <v>0</v>
      </c>
      <c r="BH39" s="916">
        <f t="shared" si="70"/>
        <v>0</v>
      </c>
      <c r="BI39" s="916">
        <f t="shared" si="70"/>
        <v>0</v>
      </c>
      <c r="BJ39" s="909"/>
      <c r="BK39" s="1153"/>
      <c r="BL39" s="1153"/>
      <c r="BM39" s="909">
        <f t="shared" si="71"/>
        <v>0</v>
      </c>
      <c r="BN39" s="943"/>
      <c r="BO39" s="909"/>
      <c r="BP39" s="1153"/>
      <c r="BQ39" s="1153"/>
      <c r="BR39" s="909">
        <f t="shared" si="72"/>
        <v>0</v>
      </c>
      <c r="BS39" s="943">
        <f t="shared" si="73"/>
        <v>0</v>
      </c>
      <c r="BT39" s="909"/>
      <c r="BU39" s="1153"/>
      <c r="BV39" s="1153"/>
      <c r="BW39" s="909">
        <f>SUM(BU39+BV39)</f>
        <v>0</v>
      </c>
      <c r="BX39" s="943"/>
      <c r="BY39" s="909"/>
      <c r="BZ39" s="1153"/>
      <c r="CA39" s="1153"/>
      <c r="CB39" s="909">
        <f t="shared" si="74"/>
        <v>0</v>
      </c>
      <c r="CC39" s="943"/>
      <c r="CD39" s="909"/>
      <c r="CE39" s="1153"/>
      <c r="CF39" s="1153"/>
      <c r="CG39" s="909">
        <f t="shared" si="75"/>
        <v>0</v>
      </c>
      <c r="CH39" s="943">
        <f t="shared" si="76"/>
        <v>0</v>
      </c>
      <c r="CI39" s="909"/>
      <c r="CJ39" s="1153"/>
      <c r="CK39" s="1153"/>
      <c r="CL39" s="909">
        <f t="shared" si="77"/>
        <v>0</v>
      </c>
      <c r="CM39" s="943"/>
      <c r="CN39" s="909"/>
      <c r="CO39" s="1153"/>
      <c r="CP39" s="1153"/>
      <c r="CQ39" s="909">
        <f t="shared" si="78"/>
        <v>0</v>
      </c>
      <c r="CR39" s="943">
        <f t="shared" si="79"/>
        <v>0</v>
      </c>
      <c r="CS39" s="909"/>
      <c r="CT39" s="1153"/>
      <c r="CU39" s="1153"/>
      <c r="CV39" s="909">
        <f t="shared" si="80"/>
        <v>0</v>
      </c>
      <c r="CW39" s="943">
        <f t="shared" si="81"/>
        <v>0</v>
      </c>
      <c r="CX39" s="943"/>
      <c r="CY39" s="943"/>
      <c r="CZ39" s="943"/>
      <c r="DA39" s="943">
        <v>0</v>
      </c>
      <c r="DB39" s="943"/>
      <c r="DC39" s="1160">
        <f t="shared" si="82"/>
        <v>0</v>
      </c>
      <c r="DD39" s="1160">
        <f t="shared" si="87"/>
        <v>0</v>
      </c>
      <c r="DE39" s="1160">
        <f t="shared" si="88"/>
        <v>0</v>
      </c>
      <c r="DF39" s="1160">
        <f t="shared" si="89"/>
        <v>0</v>
      </c>
      <c r="DG39" s="916">
        <f t="shared" si="83"/>
        <v>0</v>
      </c>
      <c r="DH39" s="916"/>
      <c r="DI39" s="909"/>
      <c r="DJ39" s="909"/>
      <c r="DK39" s="909">
        <f t="shared" si="84"/>
        <v>0</v>
      </c>
      <c r="DL39" s="943"/>
      <c r="DM39" s="1141">
        <f t="shared" si="85"/>
        <v>0</v>
      </c>
      <c r="DN39" s="1141">
        <f t="shared" si="90"/>
        <v>0</v>
      </c>
      <c r="DO39" s="1141">
        <f t="shared" si="91"/>
        <v>0</v>
      </c>
      <c r="DP39" s="1141">
        <f t="shared" si="92"/>
        <v>0</v>
      </c>
      <c r="DQ39" s="916">
        <f t="shared" si="86"/>
        <v>0</v>
      </c>
    </row>
    <row r="40" spans="1:124" ht="15" customHeight="1">
      <c r="A40" s="380" t="s">
        <v>718</v>
      </c>
      <c r="B40" s="380"/>
      <c r="C40" s="1153"/>
      <c r="D40" s="1153"/>
      <c r="E40" s="909">
        <f t="shared" si="51"/>
        <v>0</v>
      </c>
      <c r="F40" s="943"/>
      <c r="G40" s="909"/>
      <c r="H40" s="1153"/>
      <c r="I40" s="1153"/>
      <c r="J40" s="909">
        <f t="shared" si="93"/>
        <v>0</v>
      </c>
      <c r="K40" s="943"/>
      <c r="L40" s="1153"/>
      <c r="M40" s="1153"/>
      <c r="N40" s="1153"/>
      <c r="O40" s="909">
        <f t="shared" si="52"/>
        <v>0</v>
      </c>
      <c r="P40" s="943"/>
      <c r="Q40" s="909"/>
      <c r="R40" s="1153"/>
      <c r="S40" s="1153"/>
      <c r="T40" s="909">
        <f t="shared" si="53"/>
        <v>0</v>
      </c>
      <c r="U40" s="943"/>
      <c r="V40" s="909"/>
      <c r="W40" s="909"/>
      <c r="X40" s="1153"/>
      <c r="Y40" s="909">
        <f t="shared" si="54"/>
        <v>0</v>
      </c>
      <c r="Z40" s="943"/>
      <c r="AA40" s="909"/>
      <c r="AB40" s="1153"/>
      <c r="AC40" s="1153"/>
      <c r="AD40" s="909">
        <f t="shared" si="55"/>
        <v>0</v>
      </c>
      <c r="AE40" s="943">
        <f t="shared" si="56"/>
        <v>0</v>
      </c>
      <c r="AF40" s="909"/>
      <c r="AG40" s="1153"/>
      <c r="AH40" s="1153"/>
      <c r="AI40" s="909">
        <f t="shared" si="57"/>
        <v>0</v>
      </c>
      <c r="AJ40" s="943">
        <f t="shared" si="58"/>
        <v>0</v>
      </c>
      <c r="AK40" s="909"/>
      <c r="AL40" s="1153"/>
      <c r="AM40" s="1153"/>
      <c r="AN40" s="909">
        <f t="shared" si="59"/>
        <v>0</v>
      </c>
      <c r="AO40" s="943">
        <f t="shared" si="60"/>
        <v>0</v>
      </c>
      <c r="AP40" s="909"/>
      <c r="AQ40" s="909"/>
      <c r="AR40" s="909"/>
      <c r="AS40" s="909">
        <f t="shared" si="61"/>
        <v>0</v>
      </c>
      <c r="AT40" s="943">
        <f t="shared" si="62"/>
        <v>0</v>
      </c>
      <c r="AU40" s="909"/>
      <c r="AV40" s="1153"/>
      <c r="AW40" s="1153"/>
      <c r="AX40" s="909">
        <f t="shared" si="63"/>
        <v>0</v>
      </c>
      <c r="AY40" s="943">
        <f t="shared" si="64"/>
        <v>0</v>
      </c>
      <c r="AZ40" s="909"/>
      <c r="BA40" s="909"/>
      <c r="BB40" s="909"/>
      <c r="BC40" s="909">
        <f t="shared" si="65"/>
        <v>0</v>
      </c>
      <c r="BD40" s="943">
        <f t="shared" si="66"/>
        <v>0</v>
      </c>
      <c r="BE40" s="1160">
        <f t="shared" si="67"/>
        <v>0</v>
      </c>
      <c r="BF40" s="1160">
        <f t="shared" si="68"/>
        <v>0</v>
      </c>
      <c r="BG40" s="1160">
        <f t="shared" si="69"/>
        <v>0</v>
      </c>
      <c r="BH40" s="916">
        <f t="shared" si="70"/>
        <v>0</v>
      </c>
      <c r="BI40" s="916">
        <f t="shared" si="70"/>
        <v>0</v>
      </c>
      <c r="BJ40" s="909"/>
      <c r="BK40" s="1153"/>
      <c r="BL40" s="1153"/>
      <c r="BM40" s="909">
        <f t="shared" si="71"/>
        <v>0</v>
      </c>
      <c r="BN40" s="943"/>
      <c r="BO40" s="909"/>
      <c r="BP40" s="1153"/>
      <c r="BQ40" s="1153"/>
      <c r="BR40" s="909">
        <f t="shared" si="72"/>
        <v>0</v>
      </c>
      <c r="BS40" s="943">
        <f t="shared" si="73"/>
        <v>0</v>
      </c>
      <c r="BT40" s="909"/>
      <c r="BU40" s="1153"/>
      <c r="BV40" s="1153"/>
      <c r="BW40" s="909">
        <v>17173000</v>
      </c>
      <c r="BX40" s="943">
        <v>13056377</v>
      </c>
      <c r="BY40" s="909"/>
      <c r="BZ40" s="1153"/>
      <c r="CA40" s="1153"/>
      <c r="CB40" s="909">
        <f t="shared" si="74"/>
        <v>0</v>
      </c>
      <c r="CC40" s="943"/>
      <c r="CD40" s="909"/>
      <c r="CE40" s="1153"/>
      <c r="CF40" s="1153"/>
      <c r="CG40" s="909">
        <f t="shared" si="75"/>
        <v>0</v>
      </c>
      <c r="CH40" s="943">
        <f t="shared" si="76"/>
        <v>0</v>
      </c>
      <c r="CI40" s="909"/>
      <c r="CJ40" s="1153"/>
      <c r="CK40" s="1153"/>
      <c r="CL40" s="909">
        <f t="shared" si="77"/>
        <v>0</v>
      </c>
      <c r="CM40" s="943"/>
      <c r="CN40" s="909"/>
      <c r="CO40" s="1153"/>
      <c r="CP40" s="1153"/>
      <c r="CQ40" s="909">
        <f t="shared" si="78"/>
        <v>0</v>
      </c>
      <c r="CR40" s="943">
        <f t="shared" si="79"/>
        <v>0</v>
      </c>
      <c r="CS40" s="909"/>
      <c r="CT40" s="1153"/>
      <c r="CU40" s="1153"/>
      <c r="CV40" s="909">
        <f t="shared" si="80"/>
        <v>0</v>
      </c>
      <c r="CW40" s="943">
        <f t="shared" si="81"/>
        <v>0</v>
      </c>
      <c r="CX40" s="943"/>
      <c r="CY40" s="943"/>
      <c r="CZ40" s="943"/>
      <c r="DA40" s="943">
        <v>0</v>
      </c>
      <c r="DB40" s="943"/>
      <c r="DC40" s="1160">
        <f t="shared" si="82"/>
        <v>0</v>
      </c>
      <c r="DD40" s="1160">
        <f t="shared" si="87"/>
        <v>0</v>
      </c>
      <c r="DE40" s="1160">
        <f t="shared" si="88"/>
        <v>0</v>
      </c>
      <c r="DF40" s="1160">
        <f t="shared" si="89"/>
        <v>17173000</v>
      </c>
      <c r="DG40" s="916">
        <f t="shared" si="83"/>
        <v>13056377</v>
      </c>
      <c r="DH40" s="916"/>
      <c r="DI40" s="909"/>
      <c r="DJ40" s="909"/>
      <c r="DK40" s="909">
        <f t="shared" si="84"/>
        <v>0</v>
      </c>
      <c r="DL40" s="943"/>
      <c r="DM40" s="1141">
        <f t="shared" si="85"/>
        <v>0</v>
      </c>
      <c r="DN40" s="1141">
        <f t="shared" si="90"/>
        <v>0</v>
      </c>
      <c r="DO40" s="1141">
        <f t="shared" si="91"/>
        <v>0</v>
      </c>
      <c r="DP40" s="1141">
        <f t="shared" si="92"/>
        <v>17173000</v>
      </c>
      <c r="DQ40" s="916">
        <f t="shared" si="86"/>
        <v>13056377</v>
      </c>
    </row>
    <row r="41" spans="1:124" ht="15" customHeight="1">
      <c r="A41" s="380" t="s">
        <v>719</v>
      </c>
      <c r="B41" s="380"/>
      <c r="C41" s="1153"/>
      <c r="D41" s="1153"/>
      <c r="E41" s="909">
        <f t="shared" si="51"/>
        <v>0</v>
      </c>
      <c r="F41" s="943"/>
      <c r="G41" s="909"/>
      <c r="H41" s="1153"/>
      <c r="I41" s="1153"/>
      <c r="J41" s="909">
        <f t="shared" si="93"/>
        <v>0</v>
      </c>
      <c r="K41" s="943"/>
      <c r="L41" s="909"/>
      <c r="M41" s="1153"/>
      <c r="N41" s="1153"/>
      <c r="O41" s="909">
        <f t="shared" si="52"/>
        <v>0</v>
      </c>
      <c r="P41" s="943"/>
      <c r="Q41" s="909"/>
      <c r="R41" s="1153"/>
      <c r="S41" s="1153"/>
      <c r="T41" s="909">
        <f t="shared" si="53"/>
        <v>0</v>
      </c>
      <c r="U41" s="943"/>
      <c r="V41" s="909"/>
      <c r="W41" s="909"/>
      <c r="X41" s="1153"/>
      <c r="Y41" s="909">
        <f t="shared" si="54"/>
        <v>0</v>
      </c>
      <c r="Z41" s="943"/>
      <c r="AA41" s="909"/>
      <c r="AB41" s="1153"/>
      <c r="AC41" s="1153"/>
      <c r="AD41" s="909">
        <f t="shared" si="55"/>
        <v>0</v>
      </c>
      <c r="AE41" s="943">
        <f t="shared" si="56"/>
        <v>0</v>
      </c>
      <c r="AF41" s="909"/>
      <c r="AG41" s="1153"/>
      <c r="AH41" s="1153"/>
      <c r="AI41" s="909">
        <f t="shared" si="57"/>
        <v>0</v>
      </c>
      <c r="AJ41" s="943">
        <f t="shared" si="58"/>
        <v>0</v>
      </c>
      <c r="AK41" s="909"/>
      <c r="AL41" s="1153"/>
      <c r="AM41" s="1153"/>
      <c r="AN41" s="909">
        <f t="shared" si="59"/>
        <v>0</v>
      </c>
      <c r="AO41" s="943">
        <f t="shared" si="60"/>
        <v>0</v>
      </c>
      <c r="AP41" s="909"/>
      <c r="AQ41" s="909"/>
      <c r="AR41" s="909"/>
      <c r="AS41" s="909">
        <f t="shared" si="61"/>
        <v>0</v>
      </c>
      <c r="AT41" s="943">
        <f t="shared" si="62"/>
        <v>0</v>
      </c>
      <c r="AU41" s="909"/>
      <c r="AV41" s="1153"/>
      <c r="AW41" s="1153"/>
      <c r="AX41" s="909">
        <f t="shared" si="63"/>
        <v>0</v>
      </c>
      <c r="AY41" s="943">
        <f t="shared" si="64"/>
        <v>0</v>
      </c>
      <c r="AZ41" s="909"/>
      <c r="BA41" s="909"/>
      <c r="BB41" s="909"/>
      <c r="BC41" s="909">
        <f t="shared" si="65"/>
        <v>0</v>
      </c>
      <c r="BD41" s="943">
        <f t="shared" si="66"/>
        <v>0</v>
      </c>
      <c r="BE41" s="1160">
        <f t="shared" si="67"/>
        <v>0</v>
      </c>
      <c r="BF41" s="1160">
        <f t="shared" si="68"/>
        <v>0</v>
      </c>
      <c r="BG41" s="1160">
        <f t="shared" si="69"/>
        <v>0</v>
      </c>
      <c r="BH41" s="916">
        <f t="shared" si="70"/>
        <v>0</v>
      </c>
      <c r="BI41" s="916">
        <f t="shared" si="70"/>
        <v>0</v>
      </c>
      <c r="BJ41" s="909"/>
      <c r="BK41" s="1153"/>
      <c r="BL41" s="1153"/>
      <c r="BM41" s="909">
        <f t="shared" si="71"/>
        <v>0</v>
      </c>
      <c r="BN41" s="943"/>
      <c r="BO41" s="909"/>
      <c r="BP41" s="1153"/>
      <c r="BQ41" s="1153"/>
      <c r="BR41" s="909">
        <f t="shared" si="72"/>
        <v>0</v>
      </c>
      <c r="BS41" s="943">
        <f t="shared" si="73"/>
        <v>0</v>
      </c>
      <c r="BT41" s="909"/>
      <c r="BU41" s="1153"/>
      <c r="BV41" s="1153"/>
      <c r="BW41" s="909">
        <f>SUM(BU41+BV41)</f>
        <v>0</v>
      </c>
      <c r="BX41" s="943"/>
      <c r="BY41" s="909"/>
      <c r="BZ41" s="1153"/>
      <c r="CA41" s="1153"/>
      <c r="CB41" s="909">
        <f t="shared" si="74"/>
        <v>0</v>
      </c>
      <c r="CC41" s="943"/>
      <c r="CD41" s="909"/>
      <c r="CE41" s="1153"/>
      <c r="CF41" s="1153"/>
      <c r="CG41" s="909">
        <f t="shared" si="75"/>
        <v>0</v>
      </c>
      <c r="CH41" s="943">
        <f t="shared" si="76"/>
        <v>0</v>
      </c>
      <c r="CI41" s="909"/>
      <c r="CJ41" s="1153"/>
      <c r="CK41" s="1153"/>
      <c r="CL41" s="909">
        <f t="shared" si="77"/>
        <v>0</v>
      </c>
      <c r="CM41" s="943"/>
      <c r="CN41" s="909"/>
      <c r="CO41" s="1153"/>
      <c r="CP41" s="1153"/>
      <c r="CQ41" s="909">
        <f t="shared" si="78"/>
        <v>0</v>
      </c>
      <c r="CR41" s="943">
        <f t="shared" si="79"/>
        <v>0</v>
      </c>
      <c r="CS41" s="909"/>
      <c r="CT41" s="1153"/>
      <c r="CU41" s="1153"/>
      <c r="CV41" s="909">
        <f t="shared" si="80"/>
        <v>0</v>
      </c>
      <c r="CW41" s="943">
        <f t="shared" si="81"/>
        <v>0</v>
      </c>
      <c r="CX41" s="943"/>
      <c r="CY41" s="943"/>
      <c r="CZ41" s="943"/>
      <c r="DA41" s="943">
        <v>0</v>
      </c>
      <c r="DB41" s="943"/>
      <c r="DC41" s="1160">
        <f t="shared" si="82"/>
        <v>0</v>
      </c>
      <c r="DD41" s="1160">
        <f t="shared" si="87"/>
        <v>0</v>
      </c>
      <c r="DE41" s="1160">
        <f t="shared" si="88"/>
        <v>0</v>
      </c>
      <c r="DF41" s="1160">
        <f t="shared" si="89"/>
        <v>0</v>
      </c>
      <c r="DG41" s="916">
        <f t="shared" si="83"/>
        <v>0</v>
      </c>
      <c r="DH41" s="916"/>
      <c r="DI41" s="909"/>
      <c r="DJ41" s="909"/>
      <c r="DK41" s="909">
        <f t="shared" si="84"/>
        <v>0</v>
      </c>
      <c r="DL41" s="943"/>
      <c r="DM41" s="1141">
        <f t="shared" si="85"/>
        <v>0</v>
      </c>
      <c r="DN41" s="1141">
        <f t="shared" si="90"/>
        <v>0</v>
      </c>
      <c r="DO41" s="1141">
        <f t="shared" si="91"/>
        <v>0</v>
      </c>
      <c r="DP41" s="1141">
        <f t="shared" si="92"/>
        <v>0</v>
      </c>
      <c r="DQ41" s="916">
        <f t="shared" si="86"/>
        <v>0</v>
      </c>
    </row>
    <row r="42" spans="1:124" ht="15" customHeight="1">
      <c r="A42" s="919" t="s">
        <v>720</v>
      </c>
      <c r="B42" s="919"/>
      <c r="C42" s="1153"/>
      <c r="D42" s="1153"/>
      <c r="E42" s="909">
        <f t="shared" si="51"/>
        <v>0</v>
      </c>
      <c r="F42" s="943"/>
      <c r="G42" s="909"/>
      <c r="H42" s="1153"/>
      <c r="I42" s="1153"/>
      <c r="J42" s="909">
        <f t="shared" si="93"/>
        <v>0</v>
      </c>
      <c r="K42" s="943"/>
      <c r="L42" s="909"/>
      <c r="M42" s="1153"/>
      <c r="N42" s="1153"/>
      <c r="O42" s="909">
        <f t="shared" si="52"/>
        <v>0</v>
      </c>
      <c r="P42" s="943"/>
      <c r="Q42" s="909"/>
      <c r="R42" s="1153"/>
      <c r="S42" s="1153"/>
      <c r="T42" s="909">
        <f t="shared" si="53"/>
        <v>0</v>
      </c>
      <c r="U42" s="943"/>
      <c r="V42" s="909"/>
      <c r="W42" s="909"/>
      <c r="X42" s="1153"/>
      <c r="Y42" s="909">
        <f t="shared" si="54"/>
        <v>0</v>
      </c>
      <c r="Z42" s="943"/>
      <c r="AA42" s="909"/>
      <c r="AB42" s="1153"/>
      <c r="AC42" s="1153"/>
      <c r="AD42" s="909">
        <f t="shared" si="55"/>
        <v>0</v>
      </c>
      <c r="AE42" s="943">
        <f t="shared" si="56"/>
        <v>0</v>
      </c>
      <c r="AF42" s="909"/>
      <c r="AG42" s="1153"/>
      <c r="AH42" s="1153"/>
      <c r="AI42" s="909">
        <f t="shared" si="57"/>
        <v>0</v>
      </c>
      <c r="AJ42" s="943">
        <f t="shared" si="58"/>
        <v>0</v>
      </c>
      <c r="AK42" s="909"/>
      <c r="AL42" s="1153"/>
      <c r="AM42" s="1153"/>
      <c r="AN42" s="909">
        <f t="shared" si="59"/>
        <v>0</v>
      </c>
      <c r="AO42" s="943">
        <f t="shared" si="60"/>
        <v>0</v>
      </c>
      <c r="AP42" s="909"/>
      <c r="AQ42" s="909"/>
      <c r="AR42" s="909"/>
      <c r="AS42" s="909">
        <f t="shared" si="61"/>
        <v>0</v>
      </c>
      <c r="AT42" s="943">
        <f t="shared" si="62"/>
        <v>0</v>
      </c>
      <c r="AU42" s="909"/>
      <c r="AV42" s="1153"/>
      <c r="AW42" s="1153"/>
      <c r="AX42" s="909">
        <f t="shared" si="63"/>
        <v>0</v>
      </c>
      <c r="AY42" s="943">
        <f t="shared" si="64"/>
        <v>0</v>
      </c>
      <c r="AZ42" s="909"/>
      <c r="BA42" s="909"/>
      <c r="BB42" s="909"/>
      <c r="BC42" s="909">
        <f t="shared" si="65"/>
        <v>0</v>
      </c>
      <c r="BD42" s="943">
        <f t="shared" si="66"/>
        <v>0</v>
      </c>
      <c r="BE42" s="1160">
        <f t="shared" si="67"/>
        <v>0</v>
      </c>
      <c r="BF42" s="1160">
        <f t="shared" si="68"/>
        <v>0</v>
      </c>
      <c r="BG42" s="1160">
        <f t="shared" si="69"/>
        <v>0</v>
      </c>
      <c r="BH42" s="916">
        <f t="shared" si="70"/>
        <v>0</v>
      </c>
      <c r="BI42" s="916">
        <f t="shared" si="70"/>
        <v>0</v>
      </c>
      <c r="BJ42" s="909"/>
      <c r="BK42" s="1153"/>
      <c r="BL42" s="1153"/>
      <c r="BM42" s="909">
        <f t="shared" si="71"/>
        <v>0</v>
      </c>
      <c r="BN42" s="943"/>
      <c r="BO42" s="909"/>
      <c r="BP42" s="1153"/>
      <c r="BQ42" s="1153"/>
      <c r="BR42" s="909">
        <f t="shared" si="72"/>
        <v>0</v>
      </c>
      <c r="BS42" s="943">
        <f t="shared" si="73"/>
        <v>0</v>
      </c>
      <c r="BT42" s="909"/>
      <c r="BU42" s="1153"/>
      <c r="BV42" s="1153"/>
      <c r="BW42" s="909">
        <f>SUM(BU42+BV42)</f>
        <v>0</v>
      </c>
      <c r="BX42" s="943"/>
      <c r="BY42" s="909"/>
      <c r="BZ42" s="1153"/>
      <c r="CA42" s="1153"/>
      <c r="CB42" s="909">
        <f t="shared" si="74"/>
        <v>0</v>
      </c>
      <c r="CC42" s="943"/>
      <c r="CD42" s="909"/>
      <c r="CE42" s="1153"/>
      <c r="CF42" s="1153"/>
      <c r="CG42" s="909">
        <f t="shared" si="75"/>
        <v>0</v>
      </c>
      <c r="CH42" s="943">
        <f t="shared" si="76"/>
        <v>0</v>
      </c>
      <c r="CI42" s="909"/>
      <c r="CJ42" s="1153"/>
      <c r="CK42" s="1153"/>
      <c r="CL42" s="909">
        <f t="shared" si="77"/>
        <v>0</v>
      </c>
      <c r="CM42" s="943"/>
      <c r="CN42" s="909"/>
      <c r="CO42" s="1153"/>
      <c r="CP42" s="1153"/>
      <c r="CQ42" s="909">
        <f t="shared" si="78"/>
        <v>0</v>
      </c>
      <c r="CR42" s="943">
        <f t="shared" si="79"/>
        <v>0</v>
      </c>
      <c r="CS42" s="909"/>
      <c r="CT42" s="1153"/>
      <c r="CU42" s="1153"/>
      <c r="CV42" s="909">
        <f t="shared" si="80"/>
        <v>0</v>
      </c>
      <c r="CW42" s="943">
        <f t="shared" si="81"/>
        <v>0</v>
      </c>
      <c r="CX42" s="943"/>
      <c r="CY42" s="943"/>
      <c r="CZ42" s="943"/>
      <c r="DA42" s="943">
        <v>0</v>
      </c>
      <c r="DB42" s="943"/>
      <c r="DC42" s="1160">
        <f t="shared" si="82"/>
        <v>0</v>
      </c>
      <c r="DD42" s="1160">
        <f t="shared" si="87"/>
        <v>0</v>
      </c>
      <c r="DE42" s="1160">
        <f t="shared" si="88"/>
        <v>0</v>
      </c>
      <c r="DF42" s="1160">
        <f t="shared" si="89"/>
        <v>0</v>
      </c>
      <c r="DG42" s="916">
        <f t="shared" si="83"/>
        <v>0</v>
      </c>
      <c r="DH42" s="916"/>
      <c r="DI42" s="909"/>
      <c r="DJ42" s="909"/>
      <c r="DK42" s="909">
        <f t="shared" si="84"/>
        <v>0</v>
      </c>
      <c r="DL42" s="943"/>
      <c r="DM42" s="1141">
        <f t="shared" si="85"/>
        <v>0</v>
      </c>
      <c r="DN42" s="1141">
        <f t="shared" si="90"/>
        <v>0</v>
      </c>
      <c r="DO42" s="1141">
        <f t="shared" si="91"/>
        <v>0</v>
      </c>
      <c r="DP42" s="1141">
        <f t="shared" si="92"/>
        <v>0</v>
      </c>
      <c r="DQ42" s="916">
        <f t="shared" si="86"/>
        <v>0</v>
      </c>
    </row>
    <row r="43" spans="1:124" ht="15" customHeight="1">
      <c r="A43" s="919" t="s">
        <v>721</v>
      </c>
      <c r="B43" s="919"/>
      <c r="C43" s="1153"/>
      <c r="D43" s="1153"/>
      <c r="E43" s="909">
        <f t="shared" si="51"/>
        <v>0</v>
      </c>
      <c r="F43" s="943"/>
      <c r="G43" s="909"/>
      <c r="H43" s="1153"/>
      <c r="I43" s="1153"/>
      <c r="J43" s="909">
        <f t="shared" si="93"/>
        <v>0</v>
      </c>
      <c r="K43" s="943"/>
      <c r="L43" s="909"/>
      <c r="M43" s="1153"/>
      <c r="N43" s="1153"/>
      <c r="O43" s="909">
        <f t="shared" si="52"/>
        <v>0</v>
      </c>
      <c r="P43" s="943"/>
      <c r="Q43" s="909"/>
      <c r="R43" s="1153"/>
      <c r="S43" s="1153"/>
      <c r="T43" s="909">
        <f t="shared" si="53"/>
        <v>0</v>
      </c>
      <c r="U43" s="943"/>
      <c r="V43" s="909"/>
      <c r="W43" s="909"/>
      <c r="X43" s="1153"/>
      <c r="Y43" s="909">
        <f t="shared" si="54"/>
        <v>0</v>
      </c>
      <c r="Z43" s="943"/>
      <c r="AA43" s="909"/>
      <c r="AB43" s="1153"/>
      <c r="AC43" s="1153"/>
      <c r="AD43" s="909">
        <f t="shared" si="55"/>
        <v>0</v>
      </c>
      <c r="AE43" s="943">
        <f t="shared" si="56"/>
        <v>0</v>
      </c>
      <c r="AF43" s="909"/>
      <c r="AG43" s="1153"/>
      <c r="AH43" s="1153"/>
      <c r="AI43" s="909">
        <f t="shared" si="57"/>
        <v>0</v>
      </c>
      <c r="AJ43" s="943">
        <f t="shared" si="58"/>
        <v>0</v>
      </c>
      <c r="AK43" s="909"/>
      <c r="AL43" s="1153"/>
      <c r="AM43" s="1153"/>
      <c r="AN43" s="909">
        <f t="shared" si="59"/>
        <v>0</v>
      </c>
      <c r="AO43" s="943">
        <f t="shared" si="60"/>
        <v>0</v>
      </c>
      <c r="AP43" s="909"/>
      <c r="AQ43" s="909"/>
      <c r="AR43" s="909"/>
      <c r="AS43" s="909">
        <f t="shared" si="61"/>
        <v>0</v>
      </c>
      <c r="AT43" s="943">
        <f t="shared" si="62"/>
        <v>0</v>
      </c>
      <c r="AU43" s="909"/>
      <c r="AV43" s="1153"/>
      <c r="AW43" s="1153"/>
      <c r="AX43" s="909">
        <f t="shared" si="63"/>
        <v>0</v>
      </c>
      <c r="AY43" s="943">
        <f t="shared" si="64"/>
        <v>0</v>
      </c>
      <c r="AZ43" s="909"/>
      <c r="BA43" s="909"/>
      <c r="BB43" s="909"/>
      <c r="BC43" s="909">
        <f t="shared" si="65"/>
        <v>0</v>
      </c>
      <c r="BD43" s="943">
        <f t="shared" si="66"/>
        <v>0</v>
      </c>
      <c r="BE43" s="1160">
        <f t="shared" si="67"/>
        <v>0</v>
      </c>
      <c r="BF43" s="1160">
        <f t="shared" si="68"/>
        <v>0</v>
      </c>
      <c r="BG43" s="1160">
        <f t="shared" si="69"/>
        <v>0</v>
      </c>
      <c r="BH43" s="916">
        <f t="shared" si="70"/>
        <v>0</v>
      </c>
      <c r="BI43" s="916">
        <f t="shared" si="70"/>
        <v>0</v>
      </c>
      <c r="BJ43" s="909"/>
      <c r="BK43" s="1153"/>
      <c r="BL43" s="1153"/>
      <c r="BM43" s="909">
        <f t="shared" si="71"/>
        <v>0</v>
      </c>
      <c r="BN43" s="943"/>
      <c r="BO43" s="909"/>
      <c r="BP43" s="1153"/>
      <c r="BQ43" s="1153"/>
      <c r="BR43" s="909">
        <f t="shared" si="72"/>
        <v>0</v>
      </c>
      <c r="BS43" s="943">
        <f t="shared" si="73"/>
        <v>0</v>
      </c>
      <c r="BT43" s="909"/>
      <c r="BU43" s="1153"/>
      <c r="BV43" s="1153"/>
      <c r="BW43" s="909">
        <f>SUM(BU43+BV43)</f>
        <v>0</v>
      </c>
      <c r="BX43" s="943"/>
      <c r="BY43" s="909"/>
      <c r="BZ43" s="1153"/>
      <c r="CA43" s="1153"/>
      <c r="CB43" s="909">
        <f t="shared" si="74"/>
        <v>0</v>
      </c>
      <c r="CC43" s="943"/>
      <c r="CD43" s="909"/>
      <c r="CE43" s="1153"/>
      <c r="CF43" s="1153"/>
      <c r="CG43" s="909">
        <f t="shared" si="75"/>
        <v>0</v>
      </c>
      <c r="CH43" s="943">
        <f t="shared" si="76"/>
        <v>0</v>
      </c>
      <c r="CI43" s="909"/>
      <c r="CJ43" s="1153"/>
      <c r="CK43" s="1153"/>
      <c r="CL43" s="909">
        <f t="shared" si="77"/>
        <v>0</v>
      </c>
      <c r="CM43" s="943"/>
      <c r="CN43" s="909"/>
      <c r="CO43" s="1153"/>
      <c r="CP43" s="1153"/>
      <c r="CQ43" s="909">
        <f t="shared" si="78"/>
        <v>0</v>
      </c>
      <c r="CR43" s="943">
        <f t="shared" si="79"/>
        <v>0</v>
      </c>
      <c r="CS43" s="909"/>
      <c r="CT43" s="1153"/>
      <c r="CU43" s="1153"/>
      <c r="CV43" s="909">
        <f t="shared" si="80"/>
        <v>0</v>
      </c>
      <c r="CW43" s="943">
        <f t="shared" si="81"/>
        <v>0</v>
      </c>
      <c r="CX43" s="943"/>
      <c r="CY43" s="943"/>
      <c r="CZ43" s="943"/>
      <c r="DA43" s="943">
        <v>0</v>
      </c>
      <c r="DB43" s="943"/>
      <c r="DC43" s="1160">
        <f t="shared" si="82"/>
        <v>0</v>
      </c>
      <c r="DD43" s="1160">
        <f t="shared" si="87"/>
        <v>0</v>
      </c>
      <c r="DE43" s="1160">
        <f t="shared" si="88"/>
        <v>0</v>
      </c>
      <c r="DF43" s="1160">
        <f t="shared" si="89"/>
        <v>0</v>
      </c>
      <c r="DG43" s="916">
        <f t="shared" si="83"/>
        <v>0</v>
      </c>
      <c r="DH43" s="916"/>
      <c r="DI43" s="909"/>
      <c r="DJ43" s="909"/>
      <c r="DK43" s="909">
        <f t="shared" si="84"/>
        <v>0</v>
      </c>
      <c r="DL43" s="943"/>
      <c r="DM43" s="1141">
        <f t="shared" si="85"/>
        <v>0</v>
      </c>
      <c r="DN43" s="1141">
        <f t="shared" si="90"/>
        <v>0</v>
      </c>
      <c r="DO43" s="1141">
        <f t="shared" si="91"/>
        <v>0</v>
      </c>
      <c r="DP43" s="1141">
        <f t="shared" si="92"/>
        <v>0</v>
      </c>
      <c r="DQ43" s="916">
        <f t="shared" si="86"/>
        <v>0</v>
      </c>
    </row>
    <row r="44" spans="1:124" ht="15" customHeight="1">
      <c r="A44" s="1163" t="s">
        <v>722</v>
      </c>
      <c r="B44" s="1154">
        <f t="shared" ref="B44:AG44" si="94">SUM(B35:B43)</f>
        <v>0</v>
      </c>
      <c r="C44" s="1154">
        <f t="shared" si="94"/>
        <v>0</v>
      </c>
      <c r="D44" s="1154">
        <f t="shared" si="94"/>
        <v>0</v>
      </c>
      <c r="E44" s="1154">
        <f t="shared" si="94"/>
        <v>0</v>
      </c>
      <c r="F44" s="1154">
        <f t="shared" si="94"/>
        <v>0</v>
      </c>
      <c r="G44" s="1154">
        <f t="shared" si="94"/>
        <v>113763000</v>
      </c>
      <c r="H44" s="1154">
        <f t="shared" si="94"/>
        <v>114432290</v>
      </c>
      <c r="I44" s="1154">
        <f t="shared" si="94"/>
        <v>0</v>
      </c>
      <c r="J44" s="1154">
        <f t="shared" si="94"/>
        <v>137646790</v>
      </c>
      <c r="K44" s="1154">
        <f t="shared" si="94"/>
        <v>127494971</v>
      </c>
      <c r="L44" s="1154">
        <f t="shared" si="94"/>
        <v>0</v>
      </c>
      <c r="M44" s="1154">
        <f t="shared" si="94"/>
        <v>0</v>
      </c>
      <c r="N44" s="1154">
        <f t="shared" si="94"/>
        <v>0</v>
      </c>
      <c r="O44" s="1154">
        <f t="shared" si="94"/>
        <v>0</v>
      </c>
      <c r="P44" s="1154">
        <f t="shared" si="94"/>
        <v>0</v>
      </c>
      <c r="Q44" s="1154">
        <f t="shared" si="94"/>
        <v>0</v>
      </c>
      <c r="R44" s="1154">
        <f t="shared" si="94"/>
        <v>0</v>
      </c>
      <c r="S44" s="1154">
        <f t="shared" si="94"/>
        <v>0</v>
      </c>
      <c r="T44" s="1154">
        <f t="shared" si="94"/>
        <v>0</v>
      </c>
      <c r="U44" s="1154">
        <f t="shared" si="94"/>
        <v>0</v>
      </c>
      <c r="V44" s="1154">
        <f t="shared" si="94"/>
        <v>0</v>
      </c>
      <c r="W44" s="1154">
        <f t="shared" si="94"/>
        <v>0</v>
      </c>
      <c r="X44" s="1154">
        <f t="shared" si="94"/>
        <v>0</v>
      </c>
      <c r="Y44" s="1154">
        <f t="shared" si="94"/>
        <v>0</v>
      </c>
      <c r="Z44" s="1154">
        <f t="shared" si="94"/>
        <v>0</v>
      </c>
      <c r="AA44" s="1154">
        <f t="shared" si="94"/>
        <v>0</v>
      </c>
      <c r="AB44" s="1154">
        <f t="shared" si="94"/>
        <v>0</v>
      </c>
      <c r="AC44" s="1154">
        <f t="shared" si="94"/>
        <v>0</v>
      </c>
      <c r="AD44" s="1154">
        <f t="shared" si="94"/>
        <v>0</v>
      </c>
      <c r="AE44" s="1154">
        <f t="shared" si="94"/>
        <v>0</v>
      </c>
      <c r="AF44" s="1154">
        <f t="shared" si="94"/>
        <v>0</v>
      </c>
      <c r="AG44" s="1154">
        <f t="shared" si="94"/>
        <v>0</v>
      </c>
      <c r="AH44" s="1154">
        <f t="shared" ref="AH44:BM44" si="95">SUM(AH35:AH43)</f>
        <v>0</v>
      </c>
      <c r="AI44" s="1154">
        <f t="shared" si="95"/>
        <v>0</v>
      </c>
      <c r="AJ44" s="1154">
        <f t="shared" si="95"/>
        <v>0</v>
      </c>
      <c r="AK44" s="1154">
        <f t="shared" si="95"/>
        <v>0</v>
      </c>
      <c r="AL44" s="1154">
        <f t="shared" si="95"/>
        <v>0</v>
      </c>
      <c r="AM44" s="1154">
        <f t="shared" si="95"/>
        <v>0</v>
      </c>
      <c r="AN44" s="1154">
        <f t="shared" si="95"/>
        <v>0</v>
      </c>
      <c r="AO44" s="1154">
        <f t="shared" si="95"/>
        <v>0</v>
      </c>
      <c r="AP44" s="1154">
        <f t="shared" si="95"/>
        <v>0</v>
      </c>
      <c r="AQ44" s="1154">
        <f t="shared" si="95"/>
        <v>0</v>
      </c>
      <c r="AR44" s="1154">
        <f t="shared" si="95"/>
        <v>0</v>
      </c>
      <c r="AS44" s="1154">
        <f t="shared" si="95"/>
        <v>0</v>
      </c>
      <c r="AT44" s="1154">
        <f t="shared" si="95"/>
        <v>0</v>
      </c>
      <c r="AU44" s="1154">
        <f t="shared" si="95"/>
        <v>0</v>
      </c>
      <c r="AV44" s="1154">
        <f t="shared" si="95"/>
        <v>0</v>
      </c>
      <c r="AW44" s="1154">
        <f t="shared" si="95"/>
        <v>0</v>
      </c>
      <c r="AX44" s="1154">
        <f t="shared" si="95"/>
        <v>0</v>
      </c>
      <c r="AY44" s="1154">
        <f t="shared" si="95"/>
        <v>0</v>
      </c>
      <c r="AZ44" s="1154">
        <f t="shared" si="95"/>
        <v>0</v>
      </c>
      <c r="BA44" s="1154">
        <f t="shared" si="95"/>
        <v>0</v>
      </c>
      <c r="BB44" s="1154">
        <f t="shared" si="95"/>
        <v>0</v>
      </c>
      <c r="BC44" s="1154">
        <f t="shared" si="95"/>
        <v>0</v>
      </c>
      <c r="BD44" s="1154">
        <f t="shared" si="95"/>
        <v>0</v>
      </c>
      <c r="BE44" s="1154">
        <f t="shared" si="95"/>
        <v>113763000</v>
      </c>
      <c r="BF44" s="1155">
        <f t="shared" si="95"/>
        <v>114432290</v>
      </c>
      <c r="BG44" s="1155">
        <f t="shared" si="95"/>
        <v>0</v>
      </c>
      <c r="BH44" s="1155">
        <f t="shared" si="95"/>
        <v>137646790</v>
      </c>
      <c r="BI44" s="1155">
        <f t="shared" si="95"/>
        <v>127494971</v>
      </c>
      <c r="BJ44" s="1154">
        <f t="shared" si="95"/>
        <v>0</v>
      </c>
      <c r="BK44" s="1154">
        <f t="shared" si="95"/>
        <v>0</v>
      </c>
      <c r="BL44" s="1154">
        <f t="shared" si="95"/>
        <v>0</v>
      </c>
      <c r="BM44" s="1154">
        <f t="shared" si="95"/>
        <v>0</v>
      </c>
      <c r="BN44" s="1154">
        <f t="shared" ref="BN44:CS44" si="96">SUM(BN35:BN43)</f>
        <v>0</v>
      </c>
      <c r="BO44" s="1154">
        <f t="shared" si="96"/>
        <v>0</v>
      </c>
      <c r="BP44" s="1154">
        <f t="shared" si="96"/>
        <v>0</v>
      </c>
      <c r="BQ44" s="1154">
        <f t="shared" si="96"/>
        <v>0</v>
      </c>
      <c r="BR44" s="1154">
        <f t="shared" si="96"/>
        <v>0</v>
      </c>
      <c r="BS44" s="1154">
        <f t="shared" si="96"/>
        <v>0</v>
      </c>
      <c r="BT44" s="1154">
        <f t="shared" si="96"/>
        <v>0</v>
      </c>
      <c r="BU44" s="1154">
        <f t="shared" si="96"/>
        <v>0</v>
      </c>
      <c r="BV44" s="1154">
        <f t="shared" si="96"/>
        <v>0</v>
      </c>
      <c r="BW44" s="1154">
        <f t="shared" si="96"/>
        <v>17173000</v>
      </c>
      <c r="BX44" s="1154">
        <f t="shared" si="96"/>
        <v>13056377</v>
      </c>
      <c r="BY44" s="1154">
        <f t="shared" si="96"/>
        <v>0</v>
      </c>
      <c r="BZ44" s="1154">
        <f t="shared" si="96"/>
        <v>0</v>
      </c>
      <c r="CA44" s="1154">
        <f t="shared" si="96"/>
        <v>0</v>
      </c>
      <c r="CB44" s="1154">
        <f t="shared" si="96"/>
        <v>0</v>
      </c>
      <c r="CC44" s="1154">
        <f t="shared" si="96"/>
        <v>0</v>
      </c>
      <c r="CD44" s="1154">
        <f t="shared" si="96"/>
        <v>0</v>
      </c>
      <c r="CE44" s="1154">
        <f t="shared" si="96"/>
        <v>0</v>
      </c>
      <c r="CF44" s="1154">
        <f t="shared" si="96"/>
        <v>0</v>
      </c>
      <c r="CG44" s="1154">
        <f t="shared" si="96"/>
        <v>0</v>
      </c>
      <c r="CH44" s="1154">
        <f t="shared" si="96"/>
        <v>0</v>
      </c>
      <c r="CI44" s="1154">
        <f t="shared" si="96"/>
        <v>0</v>
      </c>
      <c r="CJ44" s="1154">
        <f t="shared" si="96"/>
        <v>0</v>
      </c>
      <c r="CK44" s="1154">
        <f t="shared" si="96"/>
        <v>0</v>
      </c>
      <c r="CL44" s="1154">
        <f t="shared" si="96"/>
        <v>0</v>
      </c>
      <c r="CM44" s="1154">
        <f t="shared" si="96"/>
        <v>0</v>
      </c>
      <c r="CN44" s="1154">
        <f t="shared" si="96"/>
        <v>0</v>
      </c>
      <c r="CO44" s="1154">
        <f t="shared" si="96"/>
        <v>0</v>
      </c>
      <c r="CP44" s="1154">
        <f t="shared" si="96"/>
        <v>0</v>
      </c>
      <c r="CQ44" s="1154">
        <f t="shared" si="96"/>
        <v>0</v>
      </c>
      <c r="CR44" s="1154">
        <f t="shared" si="96"/>
        <v>0</v>
      </c>
      <c r="CS44" s="1154">
        <f t="shared" si="96"/>
        <v>0</v>
      </c>
      <c r="CT44" s="1154">
        <f>SUM(CT35:CT43)</f>
        <v>0</v>
      </c>
      <c r="CU44" s="1154">
        <f>SUM(CU35:CU43)</f>
        <v>0</v>
      </c>
      <c r="CV44" s="1154">
        <f>SUM(CV35:CV43)</f>
        <v>0</v>
      </c>
      <c r="CW44" s="1154">
        <f>SUM(CW35:CW43)</f>
        <v>0</v>
      </c>
      <c r="CX44" s="1154"/>
      <c r="CY44" s="1154"/>
      <c r="CZ44" s="1154"/>
      <c r="DA44" s="1154">
        <f>SUM(DA35:DA43)</f>
        <v>4000000</v>
      </c>
      <c r="DB44" s="1154"/>
      <c r="DC44" s="1155">
        <f t="shared" ref="DC44:DQ44" si="97">SUM(DC35:DC43)</f>
        <v>0</v>
      </c>
      <c r="DD44" s="1155">
        <f t="shared" si="97"/>
        <v>0</v>
      </c>
      <c r="DE44" s="1155">
        <f t="shared" si="97"/>
        <v>0</v>
      </c>
      <c r="DF44" s="1155">
        <f t="shared" si="97"/>
        <v>21173000</v>
      </c>
      <c r="DG44" s="1155">
        <f t="shared" si="97"/>
        <v>13056377</v>
      </c>
      <c r="DH44" s="1154">
        <f t="shared" si="97"/>
        <v>0</v>
      </c>
      <c r="DI44" s="1154">
        <f t="shared" si="97"/>
        <v>0</v>
      </c>
      <c r="DJ44" s="1154">
        <f t="shared" si="97"/>
        <v>0</v>
      </c>
      <c r="DK44" s="1154">
        <f t="shared" si="97"/>
        <v>0</v>
      </c>
      <c r="DL44" s="1154">
        <f t="shared" si="97"/>
        <v>0</v>
      </c>
      <c r="DM44" s="1155">
        <f t="shared" si="97"/>
        <v>113763000</v>
      </c>
      <c r="DN44" s="1155">
        <f t="shared" si="97"/>
        <v>114432290</v>
      </c>
      <c r="DO44" s="1155">
        <f t="shared" si="97"/>
        <v>0</v>
      </c>
      <c r="DP44" s="1155">
        <f t="shared" si="97"/>
        <v>158819790</v>
      </c>
      <c r="DQ44" s="1155">
        <f t="shared" si="97"/>
        <v>140551348</v>
      </c>
    </row>
    <row r="45" spans="1:124" ht="15" customHeight="1">
      <c r="A45" s="1161" t="s">
        <v>723</v>
      </c>
      <c r="B45" s="1155">
        <f t="shared" ref="B45:AG45" si="98">B44+B34</f>
        <v>174167000</v>
      </c>
      <c r="C45" s="1155">
        <f t="shared" si="98"/>
        <v>194096128</v>
      </c>
      <c r="D45" s="1155">
        <f t="shared" si="98"/>
        <v>734937</v>
      </c>
      <c r="E45" s="1155">
        <f t="shared" si="98"/>
        <v>216042937</v>
      </c>
      <c r="F45" s="1155">
        <f t="shared" si="98"/>
        <v>188389560</v>
      </c>
      <c r="G45" s="1155">
        <f t="shared" si="98"/>
        <v>898508000</v>
      </c>
      <c r="H45" s="1155">
        <f t="shared" si="98"/>
        <v>905527290</v>
      </c>
      <c r="I45" s="1155">
        <f t="shared" si="98"/>
        <v>0</v>
      </c>
      <c r="J45" s="1155">
        <f t="shared" si="98"/>
        <v>928741790</v>
      </c>
      <c r="K45" s="1155">
        <f t="shared" si="98"/>
        <v>744975440</v>
      </c>
      <c r="L45" s="1155">
        <f t="shared" si="98"/>
        <v>155234000</v>
      </c>
      <c r="M45" s="1155">
        <f t="shared" si="98"/>
        <v>155234000</v>
      </c>
      <c r="N45" s="1155">
        <f t="shared" si="98"/>
        <v>0</v>
      </c>
      <c r="O45" s="1155">
        <f t="shared" si="98"/>
        <v>145234000</v>
      </c>
      <c r="P45" s="1155">
        <f t="shared" si="98"/>
        <v>145234658</v>
      </c>
      <c r="Q45" s="1155">
        <f t="shared" si="98"/>
        <v>509705000</v>
      </c>
      <c r="R45" s="1155">
        <f t="shared" si="98"/>
        <v>526479720</v>
      </c>
      <c r="S45" s="1155">
        <f t="shared" si="98"/>
        <v>682719</v>
      </c>
      <c r="T45" s="1155">
        <f t="shared" si="98"/>
        <v>568491753</v>
      </c>
      <c r="U45" s="1155">
        <f t="shared" si="98"/>
        <v>550927172</v>
      </c>
      <c r="V45" s="1155">
        <f t="shared" si="98"/>
        <v>100226000</v>
      </c>
      <c r="W45" s="1155">
        <f t="shared" si="98"/>
        <v>100226000</v>
      </c>
      <c r="X45" s="1155">
        <f t="shared" si="98"/>
        <v>0</v>
      </c>
      <c r="Y45" s="1155">
        <f t="shared" si="98"/>
        <v>101623000</v>
      </c>
      <c r="Z45" s="1155">
        <f t="shared" si="98"/>
        <v>98198943</v>
      </c>
      <c r="AA45" s="1155">
        <f t="shared" si="98"/>
        <v>0</v>
      </c>
      <c r="AB45" s="1155">
        <f t="shared" si="98"/>
        <v>0</v>
      </c>
      <c r="AC45" s="1155">
        <f t="shared" si="98"/>
        <v>0</v>
      </c>
      <c r="AD45" s="1155">
        <f t="shared" si="98"/>
        <v>0</v>
      </c>
      <c r="AE45" s="1155">
        <f t="shared" si="98"/>
        <v>0</v>
      </c>
      <c r="AF45" s="1155">
        <f t="shared" si="98"/>
        <v>0</v>
      </c>
      <c r="AG45" s="1155">
        <f t="shared" si="98"/>
        <v>0</v>
      </c>
      <c r="AH45" s="1155">
        <f t="shared" ref="AH45:BM45" si="99">AH44+AH34</f>
        <v>0</v>
      </c>
      <c r="AI45" s="1155">
        <f t="shared" si="99"/>
        <v>0</v>
      </c>
      <c r="AJ45" s="1155">
        <f t="shared" si="99"/>
        <v>0</v>
      </c>
      <c r="AK45" s="1155">
        <f t="shared" si="99"/>
        <v>0</v>
      </c>
      <c r="AL45" s="1155">
        <f t="shared" si="99"/>
        <v>0</v>
      </c>
      <c r="AM45" s="1155">
        <f t="shared" si="99"/>
        <v>0</v>
      </c>
      <c r="AN45" s="1155">
        <f t="shared" si="99"/>
        <v>0</v>
      </c>
      <c r="AO45" s="1155">
        <f t="shared" si="99"/>
        <v>0</v>
      </c>
      <c r="AP45" s="1155">
        <f t="shared" si="99"/>
        <v>0</v>
      </c>
      <c r="AQ45" s="1155">
        <f t="shared" si="99"/>
        <v>0</v>
      </c>
      <c r="AR45" s="1155">
        <f t="shared" si="99"/>
        <v>0</v>
      </c>
      <c r="AS45" s="1155">
        <f t="shared" si="99"/>
        <v>0</v>
      </c>
      <c r="AT45" s="1155">
        <f t="shared" si="99"/>
        <v>0</v>
      </c>
      <c r="AU45" s="1155">
        <f t="shared" si="99"/>
        <v>0</v>
      </c>
      <c r="AV45" s="1155">
        <f t="shared" si="99"/>
        <v>0</v>
      </c>
      <c r="AW45" s="1155">
        <f t="shared" si="99"/>
        <v>0</v>
      </c>
      <c r="AX45" s="1155">
        <f t="shared" si="99"/>
        <v>0</v>
      </c>
      <c r="AY45" s="1155">
        <f t="shared" si="99"/>
        <v>0</v>
      </c>
      <c r="AZ45" s="1155">
        <f t="shared" si="99"/>
        <v>0</v>
      </c>
      <c r="BA45" s="1155">
        <f t="shared" si="99"/>
        <v>0</v>
      </c>
      <c r="BB45" s="1155">
        <f t="shared" si="99"/>
        <v>0</v>
      </c>
      <c r="BC45" s="1155">
        <f t="shared" si="99"/>
        <v>0</v>
      </c>
      <c r="BD45" s="1155">
        <f t="shared" si="99"/>
        <v>0</v>
      </c>
      <c r="BE45" s="1155">
        <f t="shared" si="99"/>
        <v>1837840000</v>
      </c>
      <c r="BF45" s="1155">
        <f t="shared" si="99"/>
        <v>1881563138</v>
      </c>
      <c r="BG45" s="1155">
        <f t="shared" si="99"/>
        <v>1417656</v>
      </c>
      <c r="BH45" s="1155">
        <f t="shared" si="99"/>
        <v>1960133480</v>
      </c>
      <c r="BI45" s="1155">
        <f t="shared" si="99"/>
        <v>1727725773</v>
      </c>
      <c r="BJ45" s="1154">
        <f t="shared" si="99"/>
        <v>0</v>
      </c>
      <c r="BK45" s="1155">
        <f t="shared" si="99"/>
        <v>0</v>
      </c>
      <c r="BL45" s="1155">
        <f t="shared" si="99"/>
        <v>0</v>
      </c>
      <c r="BM45" s="1155">
        <f t="shared" si="99"/>
        <v>0</v>
      </c>
      <c r="BN45" s="1155">
        <f t="shared" ref="BN45:CS45" si="100">BN44+BN34</f>
        <v>0</v>
      </c>
      <c r="BO45" s="1155">
        <f t="shared" si="100"/>
        <v>0</v>
      </c>
      <c r="BP45" s="1155">
        <f t="shared" si="100"/>
        <v>0</v>
      </c>
      <c r="BQ45" s="1155">
        <f t="shared" si="100"/>
        <v>0</v>
      </c>
      <c r="BR45" s="1155">
        <f t="shared" si="100"/>
        <v>0</v>
      </c>
      <c r="BS45" s="1155">
        <f t="shared" si="100"/>
        <v>0</v>
      </c>
      <c r="BT45" s="1155">
        <f t="shared" si="100"/>
        <v>5814000</v>
      </c>
      <c r="BU45" s="1155">
        <f t="shared" si="100"/>
        <v>5814000</v>
      </c>
      <c r="BV45" s="1155">
        <f t="shared" si="100"/>
        <v>-1083334</v>
      </c>
      <c r="BW45" s="1155">
        <f t="shared" si="100"/>
        <v>21903666</v>
      </c>
      <c r="BX45" s="1155">
        <f t="shared" si="100"/>
        <v>13056377</v>
      </c>
      <c r="BY45" s="1155">
        <f t="shared" si="100"/>
        <v>0</v>
      </c>
      <c r="BZ45" s="1155">
        <f t="shared" si="100"/>
        <v>0</v>
      </c>
      <c r="CA45" s="1155">
        <f t="shared" si="100"/>
        <v>0</v>
      </c>
      <c r="CB45" s="1155">
        <f t="shared" si="100"/>
        <v>0</v>
      </c>
      <c r="CC45" s="1155">
        <f t="shared" si="100"/>
        <v>0</v>
      </c>
      <c r="CD45" s="1155">
        <f t="shared" si="100"/>
        <v>0</v>
      </c>
      <c r="CE45" s="1155">
        <f t="shared" si="100"/>
        <v>0</v>
      </c>
      <c r="CF45" s="1155">
        <f t="shared" si="100"/>
        <v>0</v>
      </c>
      <c r="CG45" s="1155">
        <f t="shared" si="100"/>
        <v>0</v>
      </c>
      <c r="CH45" s="1155">
        <f t="shared" si="100"/>
        <v>0</v>
      </c>
      <c r="CI45" s="1155">
        <f t="shared" si="100"/>
        <v>0</v>
      </c>
      <c r="CJ45" s="1155">
        <f t="shared" si="100"/>
        <v>0</v>
      </c>
      <c r="CK45" s="1155">
        <f t="shared" si="100"/>
        <v>0</v>
      </c>
      <c r="CL45" s="1155">
        <f t="shared" si="100"/>
        <v>0</v>
      </c>
      <c r="CM45" s="1155">
        <f t="shared" si="100"/>
        <v>0</v>
      </c>
      <c r="CN45" s="1155">
        <f t="shared" si="100"/>
        <v>0</v>
      </c>
      <c r="CO45" s="1155">
        <f t="shared" si="100"/>
        <v>0</v>
      </c>
      <c r="CP45" s="1155">
        <f t="shared" si="100"/>
        <v>0</v>
      </c>
      <c r="CQ45" s="1155">
        <f t="shared" si="100"/>
        <v>0</v>
      </c>
      <c r="CR45" s="1155">
        <f t="shared" si="100"/>
        <v>0</v>
      </c>
      <c r="CS45" s="1155">
        <f t="shared" si="100"/>
        <v>0</v>
      </c>
      <c r="CT45" s="1155">
        <f>CT44+CT34</f>
        <v>0</v>
      </c>
      <c r="CU45" s="1155">
        <f>CU44+CU34</f>
        <v>0</v>
      </c>
      <c r="CV45" s="1155">
        <f>CV44+CV34</f>
        <v>0</v>
      </c>
      <c r="CW45" s="1155">
        <f>CW44+CW34</f>
        <v>0</v>
      </c>
      <c r="CX45" s="1155"/>
      <c r="CY45" s="1155"/>
      <c r="CZ45" s="1155"/>
      <c r="DA45" s="1155">
        <f>SUM(DA34+DA44)</f>
        <v>4000000</v>
      </c>
      <c r="DB45" s="1155"/>
      <c r="DC45" s="1155">
        <f t="shared" ref="DC45:DQ45" si="101">DC44+DC34</f>
        <v>5814000</v>
      </c>
      <c r="DD45" s="1155">
        <f t="shared" si="101"/>
        <v>5814000</v>
      </c>
      <c r="DE45" s="1155">
        <f t="shared" si="101"/>
        <v>-1083334</v>
      </c>
      <c r="DF45" s="1155">
        <f t="shared" si="101"/>
        <v>25903666</v>
      </c>
      <c r="DG45" s="1155">
        <f t="shared" si="101"/>
        <v>13056377</v>
      </c>
      <c r="DH45" s="1155">
        <f t="shared" si="101"/>
        <v>46868000</v>
      </c>
      <c r="DI45" s="1155">
        <f t="shared" si="101"/>
        <v>85517000</v>
      </c>
      <c r="DJ45" s="1155">
        <f t="shared" si="101"/>
        <v>1125000</v>
      </c>
      <c r="DK45" s="1155">
        <f t="shared" si="101"/>
        <v>77982537</v>
      </c>
      <c r="DL45" s="1155">
        <f t="shared" si="101"/>
        <v>43106016</v>
      </c>
      <c r="DM45" s="1155">
        <f t="shared" si="101"/>
        <v>1890522000</v>
      </c>
      <c r="DN45" s="1155">
        <f t="shared" si="101"/>
        <v>1972894138</v>
      </c>
      <c r="DO45" s="1155">
        <f t="shared" si="101"/>
        <v>1459322</v>
      </c>
      <c r="DP45" s="1155">
        <f t="shared" si="101"/>
        <v>2064019683</v>
      </c>
      <c r="DQ45" s="1155">
        <f t="shared" si="101"/>
        <v>1783888166</v>
      </c>
    </row>
    <row r="46" spans="1:124" ht="15" hidden="1" customHeight="1">
      <c r="A46" s="380" t="s">
        <v>724</v>
      </c>
      <c r="B46" s="380"/>
      <c r="C46" s="1153"/>
      <c r="D46" s="1153"/>
      <c r="E46" s="909">
        <f t="shared" ref="E46:E58" si="102">SUM(C46+D46)</f>
        <v>0</v>
      </c>
      <c r="F46" s="909"/>
      <c r="G46" s="909"/>
      <c r="H46" s="1153"/>
      <c r="I46" s="1153"/>
      <c r="J46" s="909">
        <f t="shared" ref="J46:J58" si="103">SUM(H46+I46)</f>
        <v>0</v>
      </c>
      <c r="K46" s="909"/>
      <c r="L46" s="909"/>
      <c r="M46" s="1153"/>
      <c r="N46" s="1153"/>
      <c r="O46" s="909">
        <f t="shared" ref="O46:O58" si="104">SUM(M46+N46)</f>
        <v>0</v>
      </c>
      <c r="P46" s="909"/>
      <c r="Q46" s="909"/>
      <c r="R46" s="1153"/>
      <c r="S46" s="1153"/>
      <c r="T46" s="909">
        <f t="shared" ref="T46:T58" si="105">SUM(R46+S46)</f>
        <v>0</v>
      </c>
      <c r="U46" s="909"/>
      <c r="V46" s="909"/>
      <c r="W46" s="909"/>
      <c r="X46" s="1153"/>
      <c r="Y46" s="909">
        <f t="shared" ref="Y46:Y58" si="106">SUM(W46+X46)</f>
        <v>0</v>
      </c>
      <c r="Z46" s="909"/>
      <c r="AA46" s="909"/>
      <c r="AB46" s="1153"/>
      <c r="AC46" s="1153"/>
      <c r="AD46" s="909">
        <f t="shared" ref="AD46:AD58" si="107">SUM(AB46+AC46)</f>
        <v>0</v>
      </c>
      <c r="AE46" s="909"/>
      <c r="AF46" s="909"/>
      <c r="AG46" s="1153"/>
      <c r="AH46" s="1153"/>
      <c r="AI46" s="909">
        <f t="shared" ref="AI46:AI58" si="108">SUM(AG46+AH46)</f>
        <v>0</v>
      </c>
      <c r="AJ46" s="909"/>
      <c r="AK46" s="909"/>
      <c r="AL46" s="1153"/>
      <c r="AM46" s="1153"/>
      <c r="AN46" s="909">
        <f t="shared" ref="AN46:AN58" si="109">SUM(AL46+AM46)</f>
        <v>0</v>
      </c>
      <c r="AO46" s="909"/>
      <c r="AP46" s="909"/>
      <c r="AQ46" s="909"/>
      <c r="AR46" s="909"/>
      <c r="AS46" s="909">
        <f t="shared" ref="AS46:AS58" si="110">SUM(AQ46+AR46)</f>
        <v>0</v>
      </c>
      <c r="AT46" s="909"/>
      <c r="AU46" s="909"/>
      <c r="AV46" s="1153"/>
      <c r="AW46" s="1153"/>
      <c r="AX46" s="909">
        <f t="shared" ref="AX46:AX58" si="111">SUM(AV46+AW46)</f>
        <v>0</v>
      </c>
      <c r="AY46" s="909"/>
      <c r="AZ46" s="909"/>
      <c r="BA46" s="909"/>
      <c r="BB46" s="909"/>
      <c r="BC46" s="909">
        <f t="shared" ref="BC46:BC58" si="112">SUM(BA46+BB46)</f>
        <v>0</v>
      </c>
      <c r="BD46" s="909"/>
      <c r="BE46" s="909"/>
      <c r="BF46" s="1160">
        <f t="shared" ref="BF46:BF57" si="113">C46+H46+M46+R46+W46+AB46+AG46+AL46+AQ46+AV46+BA46</f>
        <v>0</v>
      </c>
      <c r="BG46" s="1160">
        <f t="shared" ref="BG46:BG57" si="114">D46+I46+N46+S46+X46+AC46+AH46+AM46+AR46+AW46+BB46</f>
        <v>0</v>
      </c>
      <c r="BH46" s="916">
        <f>SUM(BF46+BG46)</f>
        <v>0</v>
      </c>
      <c r="BI46" s="916"/>
      <c r="BJ46" s="909"/>
      <c r="BK46" s="1153"/>
      <c r="BL46" s="1153"/>
      <c r="BM46" s="909">
        <f t="shared" ref="BM46:BM58" si="115">SUM(BK46+BL46)</f>
        <v>0</v>
      </c>
      <c r="BN46" s="909"/>
      <c r="BO46" s="909"/>
      <c r="BP46" s="1153"/>
      <c r="BQ46" s="1153"/>
      <c r="BR46" s="909">
        <f t="shared" ref="BR46:BR58" si="116">SUM(BP46+BQ46)</f>
        <v>0</v>
      </c>
      <c r="BS46" s="909"/>
      <c r="BT46" s="909"/>
      <c r="BU46" s="1153"/>
      <c r="BV46" s="1153"/>
      <c r="BW46" s="909">
        <f t="shared" ref="BW46:BW58" si="117">SUM(BU46+BV46)</f>
        <v>0</v>
      </c>
      <c r="BX46" s="909"/>
      <c r="BY46" s="909"/>
      <c r="BZ46" s="1153"/>
      <c r="CA46" s="1153"/>
      <c r="CB46" s="909">
        <f t="shared" ref="CB46:CB58" si="118">SUM(BZ46+CA46)</f>
        <v>0</v>
      </c>
      <c r="CC46" s="909"/>
      <c r="CD46" s="909"/>
      <c r="CE46" s="1153"/>
      <c r="CF46" s="1153"/>
      <c r="CG46" s="909">
        <f t="shared" ref="CG46:CG58" si="119">SUM(CE46+CF46)</f>
        <v>0</v>
      </c>
      <c r="CH46" s="909"/>
      <c r="CI46" s="909"/>
      <c r="CJ46" s="1153"/>
      <c r="CK46" s="1153"/>
      <c r="CL46" s="909">
        <f t="shared" ref="CL46:CL58" si="120">SUM(CJ46+CK46)</f>
        <v>0</v>
      </c>
      <c r="CM46" s="909"/>
      <c r="CN46" s="909"/>
      <c r="CO46" s="1153"/>
      <c r="CP46" s="1153"/>
      <c r="CQ46" s="909">
        <f t="shared" ref="CQ46:CQ58" si="121">SUM(CO46+CP46)</f>
        <v>0</v>
      </c>
      <c r="CR46" s="909"/>
      <c r="CS46" s="909"/>
      <c r="CT46" s="1153"/>
      <c r="CU46" s="1153"/>
      <c r="CV46" s="909">
        <f t="shared" ref="CV46:CV58" si="122">SUM(CT46+CU46)</f>
        <v>0</v>
      </c>
      <c r="CW46" s="909"/>
      <c r="CX46" s="909"/>
      <c r="CY46" s="909"/>
      <c r="CZ46" s="909"/>
      <c r="DA46" s="909"/>
      <c r="DB46" s="909"/>
      <c r="DC46" s="916"/>
      <c r="DD46" s="1160">
        <f>BK46+BP46+BU46+CT46</f>
        <v>0</v>
      </c>
      <c r="DE46" s="1160">
        <f>BL46+BQ46+BV46+CU46</f>
        <v>0</v>
      </c>
      <c r="DF46" s="916">
        <f>SUM(DD46+DE46)</f>
        <v>0</v>
      </c>
      <c r="DG46" s="916"/>
      <c r="DH46" s="916"/>
      <c r="DI46" s="909"/>
      <c r="DJ46" s="909"/>
      <c r="DK46" s="909">
        <f t="shared" ref="DK46:DK58" si="123">SUM(DI46:DJ46)</f>
        <v>0</v>
      </c>
      <c r="DL46" s="909"/>
      <c r="DM46" s="916"/>
      <c r="DN46" s="1141">
        <f>BF46+DD46</f>
        <v>0</v>
      </c>
      <c r="DO46" s="1141">
        <f>BG46+DE46</f>
        <v>0</v>
      </c>
      <c r="DP46" s="916">
        <f>SUM(DN46:DO46)</f>
        <v>0</v>
      </c>
      <c r="DQ46" s="1156"/>
    </row>
    <row r="47" spans="1:124" ht="15" hidden="1" customHeight="1">
      <c r="A47" s="380" t="s">
        <v>725</v>
      </c>
      <c r="B47" s="380"/>
      <c r="C47" s="1153"/>
      <c r="D47" s="1153"/>
      <c r="E47" s="909">
        <f t="shared" si="102"/>
        <v>0</v>
      </c>
      <c r="F47" s="909"/>
      <c r="G47" s="909"/>
      <c r="H47" s="1153"/>
      <c r="I47" s="1153"/>
      <c r="J47" s="909">
        <f t="shared" si="103"/>
        <v>0</v>
      </c>
      <c r="K47" s="909"/>
      <c r="L47" s="909"/>
      <c r="M47" s="1153"/>
      <c r="N47" s="1153"/>
      <c r="O47" s="909">
        <f t="shared" si="104"/>
        <v>0</v>
      </c>
      <c r="P47" s="909"/>
      <c r="Q47" s="909"/>
      <c r="R47" s="1153"/>
      <c r="S47" s="1153"/>
      <c r="T47" s="909">
        <f t="shared" si="105"/>
        <v>0</v>
      </c>
      <c r="U47" s="909"/>
      <c r="V47" s="909"/>
      <c r="W47" s="909"/>
      <c r="X47" s="1153"/>
      <c r="Y47" s="909">
        <f t="shared" si="106"/>
        <v>0</v>
      </c>
      <c r="Z47" s="909"/>
      <c r="AA47" s="909"/>
      <c r="AB47" s="1153"/>
      <c r="AC47" s="1153"/>
      <c r="AD47" s="909">
        <f t="shared" si="107"/>
        <v>0</v>
      </c>
      <c r="AE47" s="909"/>
      <c r="AF47" s="909"/>
      <c r="AG47" s="1153"/>
      <c r="AH47" s="1153"/>
      <c r="AI47" s="909">
        <f t="shared" si="108"/>
        <v>0</v>
      </c>
      <c r="AJ47" s="909"/>
      <c r="AK47" s="909"/>
      <c r="AL47" s="1153"/>
      <c r="AM47" s="1153"/>
      <c r="AN47" s="909">
        <f t="shared" si="109"/>
        <v>0</v>
      </c>
      <c r="AO47" s="909"/>
      <c r="AP47" s="909"/>
      <c r="AQ47" s="909"/>
      <c r="AR47" s="909"/>
      <c r="AS47" s="909">
        <f t="shared" si="110"/>
        <v>0</v>
      </c>
      <c r="AT47" s="909"/>
      <c r="AU47" s="909"/>
      <c r="AV47" s="1153"/>
      <c r="AW47" s="1153"/>
      <c r="AX47" s="909">
        <f t="shared" si="111"/>
        <v>0</v>
      </c>
      <c r="AY47" s="909"/>
      <c r="AZ47" s="909"/>
      <c r="BA47" s="909"/>
      <c r="BB47" s="909"/>
      <c r="BC47" s="909">
        <f t="shared" si="112"/>
        <v>0</v>
      </c>
      <c r="BD47" s="909"/>
      <c r="BE47" s="909"/>
      <c r="BF47" s="1160">
        <f t="shared" si="113"/>
        <v>0</v>
      </c>
      <c r="BG47" s="1160">
        <f t="shared" si="114"/>
        <v>0</v>
      </c>
      <c r="BH47" s="916">
        <f>SUM(BF47+BG47)</f>
        <v>0</v>
      </c>
      <c r="BI47" s="916"/>
      <c r="BJ47" s="909"/>
      <c r="BK47" s="1153"/>
      <c r="BL47" s="1153"/>
      <c r="BM47" s="909">
        <f t="shared" si="115"/>
        <v>0</v>
      </c>
      <c r="BN47" s="909"/>
      <c r="BO47" s="909"/>
      <c r="BP47" s="1153"/>
      <c r="BQ47" s="1153"/>
      <c r="BR47" s="909">
        <f t="shared" si="116"/>
        <v>0</v>
      </c>
      <c r="BS47" s="909"/>
      <c r="BT47" s="909"/>
      <c r="BU47" s="1153"/>
      <c r="BV47" s="1153"/>
      <c r="BW47" s="909">
        <f t="shared" si="117"/>
        <v>0</v>
      </c>
      <c r="BX47" s="909"/>
      <c r="BY47" s="909"/>
      <c r="BZ47" s="1153"/>
      <c r="CA47" s="1153"/>
      <c r="CB47" s="909">
        <f t="shared" si="118"/>
        <v>0</v>
      </c>
      <c r="CC47" s="909"/>
      <c r="CD47" s="909"/>
      <c r="CE47" s="1153"/>
      <c r="CF47" s="1153"/>
      <c r="CG47" s="909">
        <f t="shared" si="119"/>
        <v>0</v>
      </c>
      <c r="CH47" s="909"/>
      <c r="CI47" s="909"/>
      <c r="CJ47" s="1153"/>
      <c r="CK47" s="1153"/>
      <c r="CL47" s="909">
        <f t="shared" si="120"/>
        <v>0</v>
      </c>
      <c r="CM47" s="909"/>
      <c r="CN47" s="909"/>
      <c r="CO47" s="1153"/>
      <c r="CP47" s="1153"/>
      <c r="CQ47" s="909">
        <f t="shared" si="121"/>
        <v>0</v>
      </c>
      <c r="CR47" s="909"/>
      <c r="CS47" s="909"/>
      <c r="CT47" s="1153"/>
      <c r="CU47" s="1153"/>
      <c r="CV47" s="909">
        <f t="shared" si="122"/>
        <v>0</v>
      </c>
      <c r="CW47" s="909"/>
      <c r="CX47" s="909"/>
      <c r="CY47" s="909"/>
      <c r="CZ47" s="909"/>
      <c r="DA47" s="909"/>
      <c r="DB47" s="909"/>
      <c r="DC47" s="916"/>
      <c r="DD47" s="1160">
        <f>BK47+BP47+BU47+CT47</f>
        <v>0</v>
      </c>
      <c r="DE47" s="1160">
        <f>BL47+BQ47+BV47+CU47</f>
        <v>0</v>
      </c>
      <c r="DF47" s="916">
        <f>SUM(DD47+DE47)</f>
        <v>0</v>
      </c>
      <c r="DG47" s="916"/>
      <c r="DH47" s="916"/>
      <c r="DI47" s="909"/>
      <c r="DJ47" s="909"/>
      <c r="DK47" s="909">
        <f t="shared" si="123"/>
        <v>0</v>
      </c>
      <c r="DL47" s="909"/>
      <c r="DM47" s="916"/>
      <c r="DN47" s="1141">
        <f>BF47+DD47</f>
        <v>0</v>
      </c>
      <c r="DO47" s="1141">
        <f>BG47+DE47</f>
        <v>0</v>
      </c>
      <c r="DP47" s="916">
        <f>SUM(DN47:DO47)</f>
        <v>0</v>
      </c>
      <c r="DQ47" s="1156"/>
    </row>
    <row r="48" spans="1:124" ht="15" customHeight="1">
      <c r="A48" s="380" t="s">
        <v>726</v>
      </c>
      <c r="B48" s="380"/>
      <c r="C48" s="1153"/>
      <c r="D48" s="1153"/>
      <c r="E48" s="909">
        <f t="shared" si="102"/>
        <v>0</v>
      </c>
      <c r="F48" s="943"/>
      <c r="G48" s="909"/>
      <c r="H48" s="1153"/>
      <c r="I48" s="1153"/>
      <c r="J48" s="909">
        <f t="shared" si="103"/>
        <v>0</v>
      </c>
      <c r="K48" s="943"/>
      <c r="L48" s="909"/>
      <c r="M48" s="1153"/>
      <c r="N48" s="1153"/>
      <c r="O48" s="909">
        <f t="shared" si="104"/>
        <v>0</v>
      </c>
      <c r="P48" s="943"/>
      <c r="Q48" s="909"/>
      <c r="R48" s="1153"/>
      <c r="S48" s="1153"/>
      <c r="T48" s="909">
        <f t="shared" si="105"/>
        <v>0</v>
      </c>
      <c r="U48" s="943"/>
      <c r="V48" s="909"/>
      <c r="W48" s="909"/>
      <c r="X48" s="1153"/>
      <c r="Y48" s="909">
        <f t="shared" si="106"/>
        <v>0</v>
      </c>
      <c r="Z48" s="943"/>
      <c r="AA48" s="909"/>
      <c r="AB48" s="1153"/>
      <c r="AC48" s="1153"/>
      <c r="AD48" s="909">
        <f t="shared" si="107"/>
        <v>0</v>
      </c>
      <c r="AE48" s="943">
        <f t="shared" ref="AE48:AE57" si="124">AB48-AA48</f>
        <v>0</v>
      </c>
      <c r="AF48" s="909"/>
      <c r="AG48" s="1153"/>
      <c r="AH48" s="1153"/>
      <c r="AI48" s="909">
        <f t="shared" si="108"/>
        <v>0</v>
      </c>
      <c r="AJ48" s="943">
        <f t="shared" ref="AJ48:AJ57" si="125">AG48-AF48</f>
        <v>0</v>
      </c>
      <c r="AK48" s="909"/>
      <c r="AL48" s="1153"/>
      <c r="AM48" s="1153"/>
      <c r="AN48" s="909">
        <f t="shared" si="109"/>
        <v>0</v>
      </c>
      <c r="AO48" s="943">
        <f t="shared" ref="AO48:AO57" si="126">AL48-AK48</f>
        <v>0</v>
      </c>
      <c r="AP48" s="909"/>
      <c r="AQ48" s="909"/>
      <c r="AR48" s="909"/>
      <c r="AS48" s="909">
        <f t="shared" si="110"/>
        <v>0</v>
      </c>
      <c r="AT48" s="943">
        <f t="shared" ref="AT48:AT57" si="127">AQ48-AP48</f>
        <v>0</v>
      </c>
      <c r="AU48" s="909"/>
      <c r="AV48" s="1153"/>
      <c r="AW48" s="1153"/>
      <c r="AX48" s="909">
        <f t="shared" si="111"/>
        <v>0</v>
      </c>
      <c r="AY48" s="943">
        <f t="shared" ref="AY48:AY57" si="128">AV48-AU48</f>
        <v>0</v>
      </c>
      <c r="AZ48" s="909"/>
      <c r="BA48" s="909"/>
      <c r="BB48" s="909"/>
      <c r="BC48" s="909">
        <f t="shared" si="112"/>
        <v>0</v>
      </c>
      <c r="BD48" s="943">
        <f t="shared" ref="BD48:BD57" si="129">BA48-AZ48</f>
        <v>0</v>
      </c>
      <c r="BE48" s="1160">
        <f t="shared" ref="BE48:BE57" si="130">B48+G48+L48+Q48+V48+AA48+AF48+AK48+AP48+AU48+AZ48</f>
        <v>0</v>
      </c>
      <c r="BF48" s="1160">
        <f t="shared" si="113"/>
        <v>0</v>
      </c>
      <c r="BG48" s="1160">
        <f t="shared" si="114"/>
        <v>0</v>
      </c>
      <c r="BH48" s="916">
        <f t="shared" ref="BH48:BI57" si="131">E48+J48+O48+T48+Y48+AD48+AI48+AN48+AS48+AX48+BC48</f>
        <v>0</v>
      </c>
      <c r="BI48" s="916">
        <f t="shared" si="131"/>
        <v>0</v>
      </c>
      <c r="BJ48" s="909"/>
      <c r="BK48" s="1153"/>
      <c r="BL48" s="1153"/>
      <c r="BM48" s="909">
        <f t="shared" si="115"/>
        <v>0</v>
      </c>
      <c r="BN48" s="943"/>
      <c r="BO48" s="909"/>
      <c r="BP48" s="1153"/>
      <c r="BQ48" s="1153"/>
      <c r="BR48" s="909">
        <f t="shared" si="116"/>
        <v>0</v>
      </c>
      <c r="BS48" s="943">
        <f t="shared" ref="BS48:BS57" si="132">BP48-BO48</f>
        <v>0</v>
      </c>
      <c r="BT48" s="909"/>
      <c r="BU48" s="1153"/>
      <c r="BV48" s="1153"/>
      <c r="BW48" s="909">
        <f t="shared" si="117"/>
        <v>0</v>
      </c>
      <c r="BX48" s="943"/>
      <c r="BY48" s="909"/>
      <c r="BZ48" s="1153"/>
      <c r="CA48" s="1153"/>
      <c r="CB48" s="909">
        <f t="shared" si="118"/>
        <v>0</v>
      </c>
      <c r="CC48" s="943"/>
      <c r="CD48" s="909"/>
      <c r="CE48" s="1153"/>
      <c r="CF48" s="1153"/>
      <c r="CG48" s="909">
        <f t="shared" si="119"/>
        <v>0</v>
      </c>
      <c r="CH48" s="943">
        <f t="shared" ref="CH48:CH57" si="133">CE48-CD48</f>
        <v>0</v>
      </c>
      <c r="CI48" s="909"/>
      <c r="CJ48" s="1153"/>
      <c r="CK48" s="1153"/>
      <c r="CL48" s="909">
        <f t="shared" si="120"/>
        <v>0</v>
      </c>
      <c r="CM48" s="943"/>
      <c r="CN48" s="909"/>
      <c r="CO48" s="1153"/>
      <c r="CP48" s="1153"/>
      <c r="CQ48" s="909">
        <f t="shared" si="121"/>
        <v>0</v>
      </c>
      <c r="CR48" s="943">
        <f t="shared" ref="CR48:CR57" si="134">CO48-CN48</f>
        <v>0</v>
      </c>
      <c r="CS48" s="909"/>
      <c r="CT48" s="1153"/>
      <c r="CU48" s="1153"/>
      <c r="CV48" s="909">
        <f t="shared" si="122"/>
        <v>0</v>
      </c>
      <c r="CW48" s="943">
        <f t="shared" ref="CW48:CW57" si="135">CT48-CS48</f>
        <v>0</v>
      </c>
      <c r="CX48" s="943"/>
      <c r="CY48" s="943"/>
      <c r="CZ48" s="943"/>
      <c r="DA48" s="943">
        <v>0</v>
      </c>
      <c r="DB48" s="943"/>
      <c r="DC48" s="1160">
        <f t="shared" ref="DC48:DC57" si="136">BJ48+BO48+BT48+BY48+CD48+CI48+CN48+CS48</f>
        <v>0</v>
      </c>
      <c r="DD48" s="1160">
        <f t="shared" ref="DD48:DD57" si="137">BK48+BP48+BU48+BZ48+CE48+CJ48+CO48+CT48</f>
        <v>0</v>
      </c>
      <c r="DE48" s="1160">
        <f t="shared" ref="DE48:DE57" si="138">BL48+BQ48+BV48+CA48+CF48+CK48+CP48+CU48</f>
        <v>0</v>
      </c>
      <c r="DF48" s="916">
        <f t="shared" ref="DF48:DG57" si="139">BM48+BR48+BW48+CB48+CG48+CL48+CQ48+CV48</f>
        <v>0</v>
      </c>
      <c r="DG48" s="916">
        <f t="shared" si="139"/>
        <v>0</v>
      </c>
      <c r="DH48" s="916"/>
      <c r="DI48" s="909"/>
      <c r="DJ48" s="909"/>
      <c r="DK48" s="909">
        <f t="shared" si="123"/>
        <v>0</v>
      </c>
      <c r="DL48" s="943"/>
      <c r="DM48" s="1141">
        <f t="shared" ref="DM48:DM57" si="140">BE48+DC48+DH48</f>
        <v>0</v>
      </c>
      <c r="DN48" s="1141">
        <f t="shared" ref="DN48:DN57" si="141">BF48+DD48+DI48</f>
        <v>0</v>
      </c>
      <c r="DO48" s="1141">
        <f t="shared" ref="DO48:DO57" si="142">BG48+DE48+DJ48</f>
        <v>0</v>
      </c>
      <c r="DP48" s="916">
        <f t="shared" ref="DP48:DQ57" si="143">BH48+DF48+DK48</f>
        <v>0</v>
      </c>
      <c r="DQ48" s="916">
        <f t="shared" si="143"/>
        <v>0</v>
      </c>
    </row>
    <row r="49" spans="1:123" ht="15" customHeight="1">
      <c r="A49" s="380" t="s">
        <v>727</v>
      </c>
      <c r="B49" s="380"/>
      <c r="C49" s="1153"/>
      <c r="D49" s="1153"/>
      <c r="E49" s="909">
        <f t="shared" si="102"/>
        <v>0</v>
      </c>
      <c r="F49" s="943"/>
      <c r="G49" s="909"/>
      <c r="H49" s="1153"/>
      <c r="I49" s="1153"/>
      <c r="J49" s="909">
        <f t="shared" si="103"/>
        <v>0</v>
      </c>
      <c r="K49" s="943"/>
      <c r="L49" s="909"/>
      <c r="M49" s="1153"/>
      <c r="N49" s="1153"/>
      <c r="O49" s="909">
        <f t="shared" si="104"/>
        <v>0</v>
      </c>
      <c r="P49" s="943"/>
      <c r="Q49" s="909"/>
      <c r="R49" s="1153"/>
      <c r="S49" s="1153"/>
      <c r="T49" s="909">
        <f t="shared" si="105"/>
        <v>0</v>
      </c>
      <c r="U49" s="943"/>
      <c r="V49" s="909"/>
      <c r="W49" s="909"/>
      <c r="X49" s="1153"/>
      <c r="Y49" s="909">
        <f t="shared" si="106"/>
        <v>0</v>
      </c>
      <c r="Z49" s="943"/>
      <c r="AA49" s="909"/>
      <c r="AB49" s="1153"/>
      <c r="AC49" s="1153"/>
      <c r="AD49" s="909">
        <f t="shared" si="107"/>
        <v>0</v>
      </c>
      <c r="AE49" s="943">
        <f t="shared" si="124"/>
        <v>0</v>
      </c>
      <c r="AF49" s="909"/>
      <c r="AG49" s="1153"/>
      <c r="AH49" s="1153"/>
      <c r="AI49" s="909">
        <f t="shared" si="108"/>
        <v>0</v>
      </c>
      <c r="AJ49" s="943">
        <f t="shared" si="125"/>
        <v>0</v>
      </c>
      <c r="AK49" s="909"/>
      <c r="AL49" s="1153"/>
      <c r="AM49" s="1153"/>
      <c r="AN49" s="909">
        <f t="shared" si="109"/>
        <v>0</v>
      </c>
      <c r="AO49" s="943">
        <f t="shared" si="126"/>
        <v>0</v>
      </c>
      <c r="AP49" s="909"/>
      <c r="AQ49" s="909"/>
      <c r="AR49" s="909"/>
      <c r="AS49" s="909">
        <f t="shared" si="110"/>
        <v>0</v>
      </c>
      <c r="AT49" s="943">
        <f t="shared" si="127"/>
        <v>0</v>
      </c>
      <c r="AU49" s="909"/>
      <c r="AV49" s="1153"/>
      <c r="AW49" s="1153"/>
      <c r="AX49" s="909">
        <f t="shared" si="111"/>
        <v>0</v>
      </c>
      <c r="AY49" s="943">
        <f t="shared" si="128"/>
        <v>0</v>
      </c>
      <c r="AZ49" s="909"/>
      <c r="BA49" s="909"/>
      <c r="BB49" s="909"/>
      <c r="BC49" s="909">
        <f t="shared" si="112"/>
        <v>0</v>
      </c>
      <c r="BD49" s="943">
        <f t="shared" si="129"/>
        <v>0</v>
      </c>
      <c r="BE49" s="1160">
        <f t="shared" si="130"/>
        <v>0</v>
      </c>
      <c r="BF49" s="1160">
        <f t="shared" si="113"/>
        <v>0</v>
      </c>
      <c r="BG49" s="1160">
        <f t="shared" si="114"/>
        <v>0</v>
      </c>
      <c r="BH49" s="916">
        <f t="shared" si="131"/>
        <v>0</v>
      </c>
      <c r="BI49" s="916">
        <f t="shared" si="131"/>
        <v>0</v>
      </c>
      <c r="BJ49" s="909"/>
      <c r="BK49" s="1153"/>
      <c r="BL49" s="1153"/>
      <c r="BM49" s="909">
        <f t="shared" si="115"/>
        <v>0</v>
      </c>
      <c r="BN49" s="943"/>
      <c r="BO49" s="909"/>
      <c r="BP49" s="1153"/>
      <c r="BQ49" s="1153"/>
      <c r="BR49" s="909">
        <f t="shared" si="116"/>
        <v>0</v>
      </c>
      <c r="BS49" s="943">
        <f t="shared" si="132"/>
        <v>0</v>
      </c>
      <c r="BT49" s="909"/>
      <c r="BU49" s="1153"/>
      <c r="BV49" s="1153"/>
      <c r="BW49" s="909">
        <f t="shared" si="117"/>
        <v>0</v>
      </c>
      <c r="BX49" s="943"/>
      <c r="BY49" s="909"/>
      <c r="BZ49" s="1153"/>
      <c r="CA49" s="1153"/>
      <c r="CB49" s="909">
        <f t="shared" si="118"/>
        <v>0</v>
      </c>
      <c r="CC49" s="943"/>
      <c r="CD49" s="909"/>
      <c r="CE49" s="1153"/>
      <c r="CF49" s="1153"/>
      <c r="CG49" s="909">
        <f t="shared" si="119"/>
        <v>0</v>
      </c>
      <c r="CH49" s="943">
        <f t="shared" si="133"/>
        <v>0</v>
      </c>
      <c r="CI49" s="909"/>
      <c r="CJ49" s="1153"/>
      <c r="CK49" s="1153"/>
      <c r="CL49" s="909">
        <f t="shared" si="120"/>
        <v>0</v>
      </c>
      <c r="CM49" s="943"/>
      <c r="CN49" s="909"/>
      <c r="CO49" s="1153"/>
      <c r="CP49" s="1153"/>
      <c r="CQ49" s="909">
        <f t="shared" si="121"/>
        <v>0</v>
      </c>
      <c r="CR49" s="943">
        <f t="shared" si="134"/>
        <v>0</v>
      </c>
      <c r="CS49" s="909"/>
      <c r="CT49" s="1153"/>
      <c r="CU49" s="1153"/>
      <c r="CV49" s="909">
        <f t="shared" si="122"/>
        <v>0</v>
      </c>
      <c r="CW49" s="943">
        <f t="shared" si="135"/>
        <v>0</v>
      </c>
      <c r="CX49" s="943"/>
      <c r="CY49" s="943"/>
      <c r="CZ49" s="943"/>
      <c r="DA49" s="943">
        <v>0</v>
      </c>
      <c r="DB49" s="943"/>
      <c r="DC49" s="1160">
        <f t="shared" si="136"/>
        <v>0</v>
      </c>
      <c r="DD49" s="1160">
        <f t="shared" si="137"/>
        <v>0</v>
      </c>
      <c r="DE49" s="1160">
        <f t="shared" si="138"/>
        <v>0</v>
      </c>
      <c r="DF49" s="916">
        <f t="shared" si="139"/>
        <v>0</v>
      </c>
      <c r="DG49" s="916">
        <f t="shared" si="139"/>
        <v>0</v>
      </c>
      <c r="DH49" s="916"/>
      <c r="DI49" s="909"/>
      <c r="DJ49" s="909"/>
      <c r="DK49" s="909">
        <f t="shared" si="123"/>
        <v>0</v>
      </c>
      <c r="DL49" s="943"/>
      <c r="DM49" s="1141">
        <f t="shared" si="140"/>
        <v>0</v>
      </c>
      <c r="DN49" s="1141">
        <f t="shared" si="141"/>
        <v>0</v>
      </c>
      <c r="DO49" s="1141">
        <f t="shared" si="142"/>
        <v>0</v>
      </c>
      <c r="DP49" s="916">
        <f t="shared" si="143"/>
        <v>0</v>
      </c>
      <c r="DQ49" s="916">
        <f t="shared" si="143"/>
        <v>0</v>
      </c>
    </row>
    <row r="50" spans="1:123" ht="15" hidden="1" customHeight="1">
      <c r="A50" s="380" t="s">
        <v>728</v>
      </c>
      <c r="B50" s="380"/>
      <c r="C50" s="1153"/>
      <c r="D50" s="1153"/>
      <c r="E50" s="909">
        <f t="shared" si="102"/>
        <v>0</v>
      </c>
      <c r="F50" s="943"/>
      <c r="G50" s="909"/>
      <c r="H50" s="1153"/>
      <c r="I50" s="1153"/>
      <c r="J50" s="909">
        <f t="shared" si="103"/>
        <v>0</v>
      </c>
      <c r="K50" s="943"/>
      <c r="L50" s="909"/>
      <c r="M50" s="1153"/>
      <c r="N50" s="1153"/>
      <c r="O50" s="909">
        <f t="shared" si="104"/>
        <v>0</v>
      </c>
      <c r="P50" s="943"/>
      <c r="Q50" s="909"/>
      <c r="R50" s="1153"/>
      <c r="S50" s="1153"/>
      <c r="T50" s="909">
        <f t="shared" si="105"/>
        <v>0</v>
      </c>
      <c r="U50" s="943"/>
      <c r="V50" s="909"/>
      <c r="W50" s="909"/>
      <c r="X50" s="1153"/>
      <c r="Y50" s="909">
        <f t="shared" si="106"/>
        <v>0</v>
      </c>
      <c r="Z50" s="943"/>
      <c r="AA50" s="909"/>
      <c r="AB50" s="1153"/>
      <c r="AC50" s="1153"/>
      <c r="AD50" s="909">
        <f t="shared" si="107"/>
        <v>0</v>
      </c>
      <c r="AE50" s="943">
        <f t="shared" si="124"/>
        <v>0</v>
      </c>
      <c r="AF50" s="909"/>
      <c r="AG50" s="1153"/>
      <c r="AH50" s="1153"/>
      <c r="AI50" s="909">
        <f t="shared" si="108"/>
        <v>0</v>
      </c>
      <c r="AJ50" s="943">
        <f t="shared" si="125"/>
        <v>0</v>
      </c>
      <c r="AK50" s="909"/>
      <c r="AL50" s="1153"/>
      <c r="AM50" s="1153"/>
      <c r="AN50" s="909">
        <f t="shared" si="109"/>
        <v>0</v>
      </c>
      <c r="AO50" s="943">
        <f t="shared" si="126"/>
        <v>0</v>
      </c>
      <c r="AP50" s="909"/>
      <c r="AQ50" s="909"/>
      <c r="AR50" s="909"/>
      <c r="AS50" s="909">
        <f t="shared" si="110"/>
        <v>0</v>
      </c>
      <c r="AT50" s="943">
        <f t="shared" si="127"/>
        <v>0</v>
      </c>
      <c r="AU50" s="909"/>
      <c r="AV50" s="1153"/>
      <c r="AW50" s="1153"/>
      <c r="AX50" s="909">
        <f t="shared" si="111"/>
        <v>0</v>
      </c>
      <c r="AY50" s="943">
        <f t="shared" si="128"/>
        <v>0</v>
      </c>
      <c r="AZ50" s="909"/>
      <c r="BA50" s="909"/>
      <c r="BB50" s="909"/>
      <c r="BC50" s="909">
        <f t="shared" si="112"/>
        <v>0</v>
      </c>
      <c r="BD50" s="943">
        <f t="shared" si="129"/>
        <v>0</v>
      </c>
      <c r="BE50" s="1160">
        <f t="shared" si="130"/>
        <v>0</v>
      </c>
      <c r="BF50" s="1160">
        <f t="shared" si="113"/>
        <v>0</v>
      </c>
      <c r="BG50" s="1160">
        <f t="shared" si="114"/>
        <v>0</v>
      </c>
      <c r="BH50" s="916">
        <f t="shared" si="131"/>
        <v>0</v>
      </c>
      <c r="BI50" s="916">
        <f t="shared" si="131"/>
        <v>0</v>
      </c>
      <c r="BJ50" s="909"/>
      <c r="BK50" s="1153"/>
      <c r="BL50" s="1153"/>
      <c r="BM50" s="909">
        <f t="shared" si="115"/>
        <v>0</v>
      </c>
      <c r="BN50" s="943"/>
      <c r="BO50" s="909"/>
      <c r="BP50" s="1153"/>
      <c r="BQ50" s="1153"/>
      <c r="BR50" s="909">
        <f t="shared" si="116"/>
        <v>0</v>
      </c>
      <c r="BS50" s="943">
        <f t="shared" si="132"/>
        <v>0</v>
      </c>
      <c r="BT50" s="909"/>
      <c r="BU50" s="1153"/>
      <c r="BV50" s="1153"/>
      <c r="BW50" s="909">
        <f t="shared" si="117"/>
        <v>0</v>
      </c>
      <c r="BX50" s="943"/>
      <c r="BY50" s="909"/>
      <c r="BZ50" s="1153"/>
      <c r="CA50" s="1153"/>
      <c r="CB50" s="909">
        <f t="shared" si="118"/>
        <v>0</v>
      </c>
      <c r="CC50" s="943"/>
      <c r="CD50" s="909"/>
      <c r="CE50" s="1153"/>
      <c r="CF50" s="1153"/>
      <c r="CG50" s="909">
        <f t="shared" si="119"/>
        <v>0</v>
      </c>
      <c r="CH50" s="943">
        <f t="shared" si="133"/>
        <v>0</v>
      </c>
      <c r="CI50" s="909"/>
      <c r="CJ50" s="1153"/>
      <c r="CK50" s="1153"/>
      <c r="CL50" s="909">
        <f t="shared" si="120"/>
        <v>0</v>
      </c>
      <c r="CM50" s="943"/>
      <c r="CN50" s="909"/>
      <c r="CO50" s="1153"/>
      <c r="CP50" s="1153"/>
      <c r="CQ50" s="909">
        <f t="shared" si="121"/>
        <v>0</v>
      </c>
      <c r="CR50" s="943">
        <f t="shared" si="134"/>
        <v>0</v>
      </c>
      <c r="CS50" s="909"/>
      <c r="CT50" s="1153"/>
      <c r="CU50" s="1153"/>
      <c r="CV50" s="909">
        <f t="shared" si="122"/>
        <v>0</v>
      </c>
      <c r="CW50" s="943">
        <f t="shared" si="135"/>
        <v>0</v>
      </c>
      <c r="CX50" s="943"/>
      <c r="CY50" s="943"/>
      <c r="CZ50" s="943"/>
      <c r="DA50" s="943"/>
      <c r="DB50" s="943"/>
      <c r="DC50" s="1160">
        <f t="shared" si="136"/>
        <v>0</v>
      </c>
      <c r="DD50" s="1160">
        <f t="shared" si="137"/>
        <v>0</v>
      </c>
      <c r="DE50" s="1160">
        <f t="shared" si="138"/>
        <v>0</v>
      </c>
      <c r="DF50" s="916">
        <f t="shared" si="139"/>
        <v>0</v>
      </c>
      <c r="DG50" s="916">
        <f t="shared" si="139"/>
        <v>0</v>
      </c>
      <c r="DH50" s="916"/>
      <c r="DI50" s="909"/>
      <c r="DJ50" s="909"/>
      <c r="DK50" s="909">
        <f t="shared" si="123"/>
        <v>0</v>
      </c>
      <c r="DL50" s="943"/>
      <c r="DM50" s="1141">
        <f t="shared" si="140"/>
        <v>0</v>
      </c>
      <c r="DN50" s="1141">
        <f t="shared" si="141"/>
        <v>0</v>
      </c>
      <c r="DO50" s="1141">
        <f t="shared" si="142"/>
        <v>0</v>
      </c>
      <c r="DP50" s="916">
        <f t="shared" si="143"/>
        <v>0</v>
      </c>
      <c r="DQ50" s="916">
        <f t="shared" si="143"/>
        <v>0</v>
      </c>
    </row>
    <row r="51" spans="1:123" ht="15" customHeight="1">
      <c r="A51" s="380" t="s">
        <v>729</v>
      </c>
      <c r="B51" s="380"/>
      <c r="C51" s="1153"/>
      <c r="D51" s="1153"/>
      <c r="E51" s="909">
        <f t="shared" si="102"/>
        <v>0</v>
      </c>
      <c r="F51" s="943"/>
      <c r="G51" s="909"/>
      <c r="H51" s="1153"/>
      <c r="I51" s="1153"/>
      <c r="J51" s="909">
        <f t="shared" si="103"/>
        <v>0</v>
      </c>
      <c r="K51" s="943"/>
      <c r="L51" s="909"/>
      <c r="M51" s="1153"/>
      <c r="N51" s="1153"/>
      <c r="O51" s="909">
        <f t="shared" si="104"/>
        <v>0</v>
      </c>
      <c r="P51" s="943"/>
      <c r="Q51" s="909"/>
      <c r="R51" s="1153"/>
      <c r="S51" s="1153"/>
      <c r="T51" s="909">
        <f t="shared" si="105"/>
        <v>0</v>
      </c>
      <c r="U51" s="943"/>
      <c r="V51" s="909"/>
      <c r="W51" s="909"/>
      <c r="X51" s="1153"/>
      <c r="Y51" s="909">
        <f t="shared" si="106"/>
        <v>0</v>
      </c>
      <c r="Z51" s="943"/>
      <c r="AA51" s="909"/>
      <c r="AB51" s="1153"/>
      <c r="AC51" s="1153"/>
      <c r="AD51" s="909">
        <f t="shared" si="107"/>
        <v>0</v>
      </c>
      <c r="AE51" s="943">
        <f t="shared" si="124"/>
        <v>0</v>
      </c>
      <c r="AF51" s="909"/>
      <c r="AG51" s="1153"/>
      <c r="AH51" s="1153"/>
      <c r="AI51" s="909">
        <f t="shared" si="108"/>
        <v>0</v>
      </c>
      <c r="AJ51" s="943">
        <f t="shared" si="125"/>
        <v>0</v>
      </c>
      <c r="AK51" s="909"/>
      <c r="AL51" s="1153"/>
      <c r="AM51" s="1153"/>
      <c r="AN51" s="909">
        <f t="shared" si="109"/>
        <v>0</v>
      </c>
      <c r="AO51" s="943">
        <f t="shared" si="126"/>
        <v>0</v>
      </c>
      <c r="AP51" s="909"/>
      <c r="AQ51" s="909"/>
      <c r="AR51" s="909"/>
      <c r="AS51" s="909">
        <f t="shared" si="110"/>
        <v>0</v>
      </c>
      <c r="AT51" s="943">
        <f t="shared" si="127"/>
        <v>0</v>
      </c>
      <c r="AU51" s="909"/>
      <c r="AV51" s="1153"/>
      <c r="AW51" s="1153"/>
      <c r="AX51" s="909">
        <f t="shared" si="111"/>
        <v>0</v>
      </c>
      <c r="AY51" s="943">
        <f t="shared" si="128"/>
        <v>0</v>
      </c>
      <c r="AZ51" s="909"/>
      <c r="BA51" s="909"/>
      <c r="BB51" s="909"/>
      <c r="BC51" s="909">
        <f t="shared" si="112"/>
        <v>0</v>
      </c>
      <c r="BD51" s="943">
        <f t="shared" si="129"/>
        <v>0</v>
      </c>
      <c r="BE51" s="1160">
        <f t="shared" si="130"/>
        <v>0</v>
      </c>
      <c r="BF51" s="1160">
        <f t="shared" si="113"/>
        <v>0</v>
      </c>
      <c r="BG51" s="1160">
        <f t="shared" si="114"/>
        <v>0</v>
      </c>
      <c r="BH51" s="916">
        <f t="shared" si="131"/>
        <v>0</v>
      </c>
      <c r="BI51" s="916">
        <f t="shared" si="131"/>
        <v>0</v>
      </c>
      <c r="BJ51" s="909"/>
      <c r="BK51" s="1153"/>
      <c r="BL51" s="1153"/>
      <c r="BM51" s="909">
        <f t="shared" si="115"/>
        <v>0</v>
      </c>
      <c r="BN51" s="943"/>
      <c r="BO51" s="909"/>
      <c r="BP51" s="1153"/>
      <c r="BQ51" s="1153"/>
      <c r="BR51" s="909">
        <f t="shared" si="116"/>
        <v>0</v>
      </c>
      <c r="BS51" s="943">
        <f t="shared" si="132"/>
        <v>0</v>
      </c>
      <c r="BT51" s="909"/>
      <c r="BU51" s="1153"/>
      <c r="BV51" s="1153"/>
      <c r="BW51" s="909">
        <f t="shared" si="117"/>
        <v>0</v>
      </c>
      <c r="BX51" s="943"/>
      <c r="BY51" s="909"/>
      <c r="BZ51" s="1153"/>
      <c r="CA51" s="1153"/>
      <c r="CB51" s="909">
        <f t="shared" si="118"/>
        <v>0</v>
      </c>
      <c r="CC51" s="943"/>
      <c r="CD51" s="909"/>
      <c r="CE51" s="1153"/>
      <c r="CF51" s="1153"/>
      <c r="CG51" s="909">
        <f t="shared" si="119"/>
        <v>0</v>
      </c>
      <c r="CH51" s="943">
        <f t="shared" si="133"/>
        <v>0</v>
      </c>
      <c r="CI51" s="909"/>
      <c r="CJ51" s="1153"/>
      <c r="CK51" s="1153"/>
      <c r="CL51" s="909">
        <f t="shared" si="120"/>
        <v>0</v>
      </c>
      <c r="CM51" s="943"/>
      <c r="CN51" s="909"/>
      <c r="CO51" s="1153"/>
      <c r="CP51" s="1153"/>
      <c r="CQ51" s="909">
        <f t="shared" si="121"/>
        <v>0</v>
      </c>
      <c r="CR51" s="943">
        <f t="shared" si="134"/>
        <v>0</v>
      </c>
      <c r="CS51" s="909"/>
      <c r="CT51" s="1153"/>
      <c r="CU51" s="1153"/>
      <c r="CV51" s="909">
        <f t="shared" si="122"/>
        <v>0</v>
      </c>
      <c r="CW51" s="943">
        <f t="shared" si="135"/>
        <v>0</v>
      </c>
      <c r="CX51" s="943"/>
      <c r="CY51" s="943"/>
      <c r="CZ51" s="943"/>
      <c r="DA51" s="943">
        <v>0</v>
      </c>
      <c r="DB51" s="943"/>
      <c r="DC51" s="1160">
        <f t="shared" si="136"/>
        <v>0</v>
      </c>
      <c r="DD51" s="1160">
        <f t="shared" si="137"/>
        <v>0</v>
      </c>
      <c r="DE51" s="1160">
        <f t="shared" si="138"/>
        <v>0</v>
      </c>
      <c r="DF51" s="916">
        <f t="shared" si="139"/>
        <v>0</v>
      </c>
      <c r="DG51" s="916">
        <f t="shared" si="139"/>
        <v>0</v>
      </c>
      <c r="DH51" s="916"/>
      <c r="DI51" s="909"/>
      <c r="DJ51" s="909"/>
      <c r="DK51" s="909">
        <f t="shared" si="123"/>
        <v>0</v>
      </c>
      <c r="DL51" s="943"/>
      <c r="DM51" s="1141">
        <f t="shared" si="140"/>
        <v>0</v>
      </c>
      <c r="DN51" s="1141">
        <f t="shared" si="141"/>
        <v>0</v>
      </c>
      <c r="DO51" s="1141">
        <f t="shared" si="142"/>
        <v>0</v>
      </c>
      <c r="DP51" s="916">
        <f t="shared" si="143"/>
        <v>0</v>
      </c>
      <c r="DQ51" s="916">
        <f t="shared" si="143"/>
        <v>0</v>
      </c>
    </row>
    <row r="52" spans="1:123" ht="15" customHeight="1">
      <c r="A52" s="380" t="s">
        <v>730</v>
      </c>
      <c r="B52" s="380"/>
      <c r="C52" s="1153"/>
      <c r="D52" s="1153"/>
      <c r="E52" s="909">
        <f t="shared" si="102"/>
        <v>0</v>
      </c>
      <c r="F52" s="943"/>
      <c r="G52" s="909"/>
      <c r="H52" s="1153"/>
      <c r="I52" s="1153"/>
      <c r="J52" s="909">
        <f t="shared" si="103"/>
        <v>0</v>
      </c>
      <c r="K52" s="943"/>
      <c r="L52" s="909"/>
      <c r="M52" s="1153"/>
      <c r="N52" s="1153"/>
      <c r="O52" s="909">
        <f t="shared" si="104"/>
        <v>0</v>
      </c>
      <c r="P52" s="943"/>
      <c r="Q52" s="909"/>
      <c r="R52" s="1153"/>
      <c r="S52" s="1153"/>
      <c r="T52" s="909">
        <f t="shared" si="105"/>
        <v>0</v>
      </c>
      <c r="U52" s="943"/>
      <c r="V52" s="909"/>
      <c r="W52" s="909"/>
      <c r="X52" s="1153"/>
      <c r="Y52" s="909">
        <f t="shared" si="106"/>
        <v>0</v>
      </c>
      <c r="Z52" s="943"/>
      <c r="AA52" s="909"/>
      <c r="AB52" s="1153"/>
      <c r="AC52" s="1153"/>
      <c r="AD52" s="909">
        <f t="shared" si="107"/>
        <v>0</v>
      </c>
      <c r="AE52" s="943">
        <f t="shared" si="124"/>
        <v>0</v>
      </c>
      <c r="AF52" s="909"/>
      <c r="AG52" s="1153"/>
      <c r="AH52" s="1153"/>
      <c r="AI52" s="909">
        <f t="shared" si="108"/>
        <v>0</v>
      </c>
      <c r="AJ52" s="943">
        <f t="shared" si="125"/>
        <v>0</v>
      </c>
      <c r="AK52" s="909"/>
      <c r="AL52" s="1153"/>
      <c r="AM52" s="1153"/>
      <c r="AN52" s="909">
        <f t="shared" si="109"/>
        <v>0</v>
      </c>
      <c r="AO52" s="943">
        <f t="shared" si="126"/>
        <v>0</v>
      </c>
      <c r="AP52" s="909"/>
      <c r="AQ52" s="909"/>
      <c r="AR52" s="909"/>
      <c r="AS52" s="909">
        <f t="shared" si="110"/>
        <v>0</v>
      </c>
      <c r="AT52" s="943">
        <f t="shared" si="127"/>
        <v>0</v>
      </c>
      <c r="AU52" s="909"/>
      <c r="AV52" s="1153"/>
      <c r="AW52" s="1153"/>
      <c r="AX52" s="909">
        <f t="shared" si="111"/>
        <v>0</v>
      </c>
      <c r="AY52" s="943">
        <f t="shared" si="128"/>
        <v>0</v>
      </c>
      <c r="AZ52" s="909"/>
      <c r="BA52" s="909"/>
      <c r="BB52" s="909"/>
      <c r="BC52" s="909">
        <f t="shared" si="112"/>
        <v>0</v>
      </c>
      <c r="BD52" s="943">
        <f t="shared" si="129"/>
        <v>0</v>
      </c>
      <c r="BE52" s="1160">
        <f t="shared" si="130"/>
        <v>0</v>
      </c>
      <c r="BF52" s="1160">
        <f t="shared" si="113"/>
        <v>0</v>
      </c>
      <c r="BG52" s="1160">
        <f t="shared" si="114"/>
        <v>0</v>
      </c>
      <c r="BH52" s="916">
        <f t="shared" si="131"/>
        <v>0</v>
      </c>
      <c r="BI52" s="916">
        <f t="shared" si="131"/>
        <v>0</v>
      </c>
      <c r="BJ52" s="909"/>
      <c r="BK52" s="1153"/>
      <c r="BL52" s="1153"/>
      <c r="BM52" s="909">
        <f t="shared" si="115"/>
        <v>0</v>
      </c>
      <c r="BN52" s="943"/>
      <c r="BO52" s="909"/>
      <c r="BP52" s="1153"/>
      <c r="BQ52" s="1153"/>
      <c r="BR52" s="909">
        <f t="shared" si="116"/>
        <v>0</v>
      </c>
      <c r="BS52" s="943">
        <f t="shared" si="132"/>
        <v>0</v>
      </c>
      <c r="BT52" s="909"/>
      <c r="BU52" s="1153"/>
      <c r="BV52" s="1153"/>
      <c r="BW52" s="909">
        <f t="shared" si="117"/>
        <v>0</v>
      </c>
      <c r="BX52" s="943"/>
      <c r="BY52" s="909"/>
      <c r="BZ52" s="1153"/>
      <c r="CA52" s="1153"/>
      <c r="CB52" s="909">
        <f t="shared" si="118"/>
        <v>0</v>
      </c>
      <c r="CC52" s="943"/>
      <c r="CD52" s="909"/>
      <c r="CE52" s="1153"/>
      <c r="CF52" s="1153"/>
      <c r="CG52" s="909">
        <f t="shared" si="119"/>
        <v>0</v>
      </c>
      <c r="CH52" s="943">
        <f t="shared" si="133"/>
        <v>0</v>
      </c>
      <c r="CI52" s="909"/>
      <c r="CJ52" s="1153"/>
      <c r="CK52" s="1153"/>
      <c r="CL52" s="909">
        <f t="shared" si="120"/>
        <v>0</v>
      </c>
      <c r="CM52" s="943"/>
      <c r="CN52" s="909"/>
      <c r="CO52" s="1153"/>
      <c r="CP52" s="1153"/>
      <c r="CQ52" s="909">
        <f t="shared" si="121"/>
        <v>0</v>
      </c>
      <c r="CR52" s="943">
        <f t="shared" si="134"/>
        <v>0</v>
      </c>
      <c r="CS52" s="909"/>
      <c r="CT52" s="1153"/>
      <c r="CU52" s="1153"/>
      <c r="CV52" s="909">
        <f t="shared" si="122"/>
        <v>0</v>
      </c>
      <c r="CW52" s="943">
        <f t="shared" si="135"/>
        <v>0</v>
      </c>
      <c r="CX52" s="943"/>
      <c r="CY52" s="943"/>
      <c r="CZ52" s="943"/>
      <c r="DA52" s="943">
        <v>0</v>
      </c>
      <c r="DB52" s="943"/>
      <c r="DC52" s="1160">
        <f t="shared" si="136"/>
        <v>0</v>
      </c>
      <c r="DD52" s="1160">
        <f t="shared" si="137"/>
        <v>0</v>
      </c>
      <c r="DE52" s="1160">
        <f t="shared" si="138"/>
        <v>0</v>
      </c>
      <c r="DF52" s="916">
        <f t="shared" si="139"/>
        <v>0</v>
      </c>
      <c r="DG52" s="916">
        <f t="shared" si="139"/>
        <v>0</v>
      </c>
      <c r="DH52" s="916"/>
      <c r="DI52" s="909"/>
      <c r="DJ52" s="909"/>
      <c r="DK52" s="909">
        <f t="shared" si="123"/>
        <v>0</v>
      </c>
      <c r="DL52" s="943"/>
      <c r="DM52" s="1141">
        <f t="shared" si="140"/>
        <v>0</v>
      </c>
      <c r="DN52" s="1141">
        <f t="shared" si="141"/>
        <v>0</v>
      </c>
      <c r="DO52" s="1141">
        <f t="shared" si="142"/>
        <v>0</v>
      </c>
      <c r="DP52" s="916">
        <f t="shared" si="143"/>
        <v>0</v>
      </c>
      <c r="DQ52" s="916">
        <f t="shared" si="143"/>
        <v>0</v>
      </c>
    </row>
    <row r="53" spans="1:123" ht="15" hidden="1" customHeight="1">
      <c r="A53" s="380" t="s">
        <v>731</v>
      </c>
      <c r="B53" s="380"/>
      <c r="C53" s="1153"/>
      <c r="D53" s="1153"/>
      <c r="E53" s="909">
        <f t="shared" si="102"/>
        <v>0</v>
      </c>
      <c r="F53" s="943"/>
      <c r="G53" s="909"/>
      <c r="H53" s="1153"/>
      <c r="I53" s="1153"/>
      <c r="J53" s="909">
        <f t="shared" si="103"/>
        <v>0</v>
      </c>
      <c r="K53" s="943"/>
      <c r="L53" s="909"/>
      <c r="M53" s="1153"/>
      <c r="N53" s="1153"/>
      <c r="O53" s="909">
        <f t="shared" si="104"/>
        <v>0</v>
      </c>
      <c r="P53" s="943"/>
      <c r="Q53" s="909"/>
      <c r="R53" s="1153"/>
      <c r="S53" s="1153"/>
      <c r="T53" s="909">
        <f t="shared" si="105"/>
        <v>0</v>
      </c>
      <c r="U53" s="943"/>
      <c r="V53" s="909"/>
      <c r="W53" s="909"/>
      <c r="X53" s="1153"/>
      <c r="Y53" s="909">
        <f t="shared" si="106"/>
        <v>0</v>
      </c>
      <c r="Z53" s="943"/>
      <c r="AA53" s="909"/>
      <c r="AB53" s="1153"/>
      <c r="AC53" s="1153"/>
      <c r="AD53" s="909">
        <f t="shared" si="107"/>
        <v>0</v>
      </c>
      <c r="AE53" s="943">
        <f t="shared" si="124"/>
        <v>0</v>
      </c>
      <c r="AF53" s="909"/>
      <c r="AG53" s="1153"/>
      <c r="AH53" s="1153"/>
      <c r="AI53" s="909">
        <f t="shared" si="108"/>
        <v>0</v>
      </c>
      <c r="AJ53" s="943">
        <f t="shared" si="125"/>
        <v>0</v>
      </c>
      <c r="AK53" s="909"/>
      <c r="AL53" s="1153"/>
      <c r="AM53" s="1153"/>
      <c r="AN53" s="909">
        <f t="shared" si="109"/>
        <v>0</v>
      </c>
      <c r="AO53" s="943">
        <f t="shared" si="126"/>
        <v>0</v>
      </c>
      <c r="AP53" s="909"/>
      <c r="AQ53" s="909"/>
      <c r="AR53" s="909"/>
      <c r="AS53" s="909">
        <f t="shared" si="110"/>
        <v>0</v>
      </c>
      <c r="AT53" s="943">
        <f t="shared" si="127"/>
        <v>0</v>
      </c>
      <c r="AU53" s="909"/>
      <c r="AV53" s="1153"/>
      <c r="AW53" s="1153"/>
      <c r="AX53" s="909">
        <f t="shared" si="111"/>
        <v>0</v>
      </c>
      <c r="AY53" s="943">
        <f t="shared" si="128"/>
        <v>0</v>
      </c>
      <c r="AZ53" s="909"/>
      <c r="BA53" s="909"/>
      <c r="BB53" s="909"/>
      <c r="BC53" s="909">
        <f t="shared" si="112"/>
        <v>0</v>
      </c>
      <c r="BD53" s="943">
        <f t="shared" si="129"/>
        <v>0</v>
      </c>
      <c r="BE53" s="1160">
        <f t="shared" si="130"/>
        <v>0</v>
      </c>
      <c r="BF53" s="1160">
        <f t="shared" si="113"/>
        <v>0</v>
      </c>
      <c r="BG53" s="1160">
        <f t="shared" si="114"/>
        <v>0</v>
      </c>
      <c r="BH53" s="916">
        <f t="shared" si="131"/>
        <v>0</v>
      </c>
      <c r="BI53" s="916">
        <f t="shared" si="131"/>
        <v>0</v>
      </c>
      <c r="BJ53" s="909"/>
      <c r="BK53" s="1153"/>
      <c r="BL53" s="1153"/>
      <c r="BM53" s="909">
        <f t="shared" si="115"/>
        <v>0</v>
      </c>
      <c r="BN53" s="943"/>
      <c r="BO53" s="909"/>
      <c r="BP53" s="1153"/>
      <c r="BQ53" s="1153"/>
      <c r="BR53" s="909">
        <f t="shared" si="116"/>
        <v>0</v>
      </c>
      <c r="BS53" s="943">
        <f t="shared" si="132"/>
        <v>0</v>
      </c>
      <c r="BT53" s="909"/>
      <c r="BU53" s="1153"/>
      <c r="BV53" s="1153"/>
      <c r="BW53" s="909">
        <f t="shared" si="117"/>
        <v>0</v>
      </c>
      <c r="BX53" s="943"/>
      <c r="BY53" s="909"/>
      <c r="BZ53" s="1153"/>
      <c r="CA53" s="1153"/>
      <c r="CB53" s="909">
        <f t="shared" si="118"/>
        <v>0</v>
      </c>
      <c r="CC53" s="943"/>
      <c r="CD53" s="909"/>
      <c r="CE53" s="1153"/>
      <c r="CF53" s="1153"/>
      <c r="CG53" s="909">
        <f t="shared" si="119"/>
        <v>0</v>
      </c>
      <c r="CH53" s="943">
        <f t="shared" si="133"/>
        <v>0</v>
      </c>
      <c r="CI53" s="909"/>
      <c r="CJ53" s="1153"/>
      <c r="CK53" s="1153"/>
      <c r="CL53" s="909">
        <f t="shared" si="120"/>
        <v>0</v>
      </c>
      <c r="CM53" s="943"/>
      <c r="CN53" s="909"/>
      <c r="CO53" s="1153"/>
      <c r="CP53" s="1153"/>
      <c r="CQ53" s="909">
        <f t="shared" si="121"/>
        <v>0</v>
      </c>
      <c r="CR53" s="943">
        <f t="shared" si="134"/>
        <v>0</v>
      </c>
      <c r="CS53" s="909"/>
      <c r="CT53" s="1153"/>
      <c r="CU53" s="1153"/>
      <c r="CV53" s="909">
        <f t="shared" si="122"/>
        <v>0</v>
      </c>
      <c r="CW53" s="943">
        <f t="shared" si="135"/>
        <v>0</v>
      </c>
      <c r="CX53" s="943"/>
      <c r="CY53" s="943"/>
      <c r="CZ53" s="943"/>
      <c r="DA53" s="943"/>
      <c r="DB53" s="943"/>
      <c r="DC53" s="1160">
        <f t="shared" si="136"/>
        <v>0</v>
      </c>
      <c r="DD53" s="1160">
        <f t="shared" si="137"/>
        <v>0</v>
      </c>
      <c r="DE53" s="1160">
        <f t="shared" si="138"/>
        <v>0</v>
      </c>
      <c r="DF53" s="916">
        <f t="shared" si="139"/>
        <v>0</v>
      </c>
      <c r="DG53" s="916">
        <f t="shared" si="139"/>
        <v>0</v>
      </c>
      <c r="DH53" s="916"/>
      <c r="DI53" s="909"/>
      <c r="DJ53" s="909"/>
      <c r="DK53" s="909">
        <f t="shared" si="123"/>
        <v>0</v>
      </c>
      <c r="DL53" s="943"/>
      <c r="DM53" s="1141">
        <f t="shared" si="140"/>
        <v>0</v>
      </c>
      <c r="DN53" s="1141">
        <f t="shared" si="141"/>
        <v>0</v>
      </c>
      <c r="DO53" s="1141">
        <f t="shared" si="142"/>
        <v>0</v>
      </c>
      <c r="DP53" s="916">
        <f t="shared" si="143"/>
        <v>0</v>
      </c>
      <c r="DQ53" s="916">
        <f t="shared" si="143"/>
        <v>0</v>
      </c>
    </row>
    <row r="54" spans="1:123" ht="15" customHeight="1">
      <c r="A54" s="380" t="s">
        <v>732</v>
      </c>
      <c r="B54" s="380"/>
      <c r="C54" s="1153"/>
      <c r="D54" s="1153"/>
      <c r="E54" s="909">
        <f t="shared" si="102"/>
        <v>0</v>
      </c>
      <c r="F54" s="943"/>
      <c r="G54" s="909"/>
      <c r="H54" s="1153"/>
      <c r="I54" s="1153"/>
      <c r="J54" s="909">
        <f t="shared" si="103"/>
        <v>0</v>
      </c>
      <c r="K54" s="943"/>
      <c r="L54" s="909"/>
      <c r="M54" s="1153"/>
      <c r="N54" s="1153"/>
      <c r="O54" s="909">
        <f t="shared" si="104"/>
        <v>0</v>
      </c>
      <c r="P54" s="943"/>
      <c r="Q54" s="909"/>
      <c r="R54" s="1153"/>
      <c r="S54" s="1153"/>
      <c r="T54" s="909">
        <f t="shared" si="105"/>
        <v>0</v>
      </c>
      <c r="U54" s="943"/>
      <c r="V54" s="909"/>
      <c r="W54" s="909"/>
      <c r="X54" s="1153"/>
      <c r="Y54" s="909">
        <f t="shared" si="106"/>
        <v>0</v>
      </c>
      <c r="Z54" s="943"/>
      <c r="AA54" s="909"/>
      <c r="AB54" s="1153"/>
      <c r="AC54" s="1153"/>
      <c r="AD54" s="909">
        <f t="shared" si="107"/>
        <v>0</v>
      </c>
      <c r="AE54" s="943">
        <f t="shared" si="124"/>
        <v>0</v>
      </c>
      <c r="AF54" s="909"/>
      <c r="AG54" s="1153"/>
      <c r="AH54" s="1153"/>
      <c r="AI54" s="909">
        <f t="shared" si="108"/>
        <v>0</v>
      </c>
      <c r="AJ54" s="943">
        <f t="shared" si="125"/>
        <v>0</v>
      </c>
      <c r="AK54" s="1153"/>
      <c r="AL54" s="1153"/>
      <c r="AM54" s="1153"/>
      <c r="AN54" s="909">
        <f t="shared" si="109"/>
        <v>0</v>
      </c>
      <c r="AO54" s="943">
        <f t="shared" si="126"/>
        <v>0</v>
      </c>
      <c r="AP54" s="909"/>
      <c r="AQ54" s="909"/>
      <c r="AR54" s="909"/>
      <c r="AS54" s="909">
        <f t="shared" si="110"/>
        <v>0</v>
      </c>
      <c r="AT54" s="943">
        <f t="shared" si="127"/>
        <v>0</v>
      </c>
      <c r="AU54" s="909"/>
      <c r="AV54" s="1153"/>
      <c r="AW54" s="1153"/>
      <c r="AX54" s="909">
        <f t="shared" si="111"/>
        <v>0</v>
      </c>
      <c r="AY54" s="943">
        <f t="shared" si="128"/>
        <v>0</v>
      </c>
      <c r="AZ54" s="909"/>
      <c r="BA54" s="909"/>
      <c r="BB54" s="909"/>
      <c r="BC54" s="909">
        <f t="shared" si="112"/>
        <v>0</v>
      </c>
      <c r="BD54" s="943">
        <f t="shared" si="129"/>
        <v>0</v>
      </c>
      <c r="BE54" s="1160">
        <f t="shared" si="130"/>
        <v>0</v>
      </c>
      <c r="BF54" s="1160">
        <f t="shared" si="113"/>
        <v>0</v>
      </c>
      <c r="BG54" s="1160">
        <f t="shared" si="114"/>
        <v>0</v>
      </c>
      <c r="BH54" s="916">
        <f t="shared" si="131"/>
        <v>0</v>
      </c>
      <c r="BI54" s="916">
        <f t="shared" si="131"/>
        <v>0</v>
      </c>
      <c r="BJ54" s="909"/>
      <c r="BK54" s="1153"/>
      <c r="BL54" s="1153"/>
      <c r="BM54" s="909">
        <f t="shared" si="115"/>
        <v>0</v>
      </c>
      <c r="BN54" s="943"/>
      <c r="BO54" s="909"/>
      <c r="BP54" s="1153"/>
      <c r="BQ54" s="1153"/>
      <c r="BR54" s="909">
        <f t="shared" si="116"/>
        <v>0</v>
      </c>
      <c r="BS54" s="943">
        <f t="shared" si="132"/>
        <v>0</v>
      </c>
      <c r="BT54" s="909"/>
      <c r="BU54" s="1153"/>
      <c r="BV54" s="1153"/>
      <c r="BW54" s="909">
        <f t="shared" si="117"/>
        <v>0</v>
      </c>
      <c r="BX54" s="943"/>
      <c r="BY54" s="909"/>
      <c r="BZ54" s="1153"/>
      <c r="CA54" s="1153"/>
      <c r="CB54" s="909">
        <f t="shared" si="118"/>
        <v>0</v>
      </c>
      <c r="CC54" s="943"/>
      <c r="CD54" s="909"/>
      <c r="CE54" s="1153"/>
      <c r="CF54" s="1153"/>
      <c r="CG54" s="909">
        <f t="shared" si="119"/>
        <v>0</v>
      </c>
      <c r="CH54" s="943">
        <f t="shared" si="133"/>
        <v>0</v>
      </c>
      <c r="CI54" s="909"/>
      <c r="CJ54" s="1153"/>
      <c r="CK54" s="1153"/>
      <c r="CL54" s="909">
        <f t="shared" si="120"/>
        <v>0</v>
      </c>
      <c r="CM54" s="943"/>
      <c r="CN54" s="909"/>
      <c r="CO54" s="1153"/>
      <c r="CP54" s="1153"/>
      <c r="CQ54" s="909">
        <f t="shared" si="121"/>
        <v>0</v>
      </c>
      <c r="CR54" s="943">
        <f t="shared" si="134"/>
        <v>0</v>
      </c>
      <c r="CS54" s="909"/>
      <c r="CT54" s="1153"/>
      <c r="CU54" s="1153"/>
      <c r="CV54" s="909">
        <f t="shared" si="122"/>
        <v>0</v>
      </c>
      <c r="CW54" s="943">
        <f t="shared" si="135"/>
        <v>0</v>
      </c>
      <c r="CX54" s="943"/>
      <c r="CY54" s="943"/>
      <c r="CZ54" s="943"/>
      <c r="DA54" s="943">
        <v>0</v>
      </c>
      <c r="DB54" s="943"/>
      <c r="DC54" s="1160">
        <f t="shared" si="136"/>
        <v>0</v>
      </c>
      <c r="DD54" s="1160">
        <f t="shared" si="137"/>
        <v>0</v>
      </c>
      <c r="DE54" s="1160">
        <f t="shared" si="138"/>
        <v>0</v>
      </c>
      <c r="DF54" s="916">
        <f t="shared" si="139"/>
        <v>0</v>
      </c>
      <c r="DG54" s="916">
        <f t="shared" si="139"/>
        <v>0</v>
      </c>
      <c r="DH54" s="916"/>
      <c r="DI54" s="909"/>
      <c r="DJ54" s="909"/>
      <c r="DK54" s="909">
        <f t="shared" si="123"/>
        <v>0</v>
      </c>
      <c r="DL54" s="943"/>
      <c r="DM54" s="1141">
        <f t="shared" si="140"/>
        <v>0</v>
      </c>
      <c r="DN54" s="1141">
        <f t="shared" si="141"/>
        <v>0</v>
      </c>
      <c r="DO54" s="1141">
        <f t="shared" si="142"/>
        <v>0</v>
      </c>
      <c r="DP54" s="916">
        <f t="shared" si="143"/>
        <v>0</v>
      </c>
      <c r="DQ54" s="916">
        <f t="shared" si="143"/>
        <v>0</v>
      </c>
    </row>
    <row r="55" spans="1:123" ht="15" customHeight="1">
      <c r="A55" s="380" t="s">
        <v>733</v>
      </c>
      <c r="B55" s="380"/>
      <c r="C55" s="1153"/>
      <c r="D55" s="1153"/>
      <c r="E55" s="909">
        <f t="shared" si="102"/>
        <v>0</v>
      </c>
      <c r="F55" s="943"/>
      <c r="G55" s="909"/>
      <c r="H55" s="1153"/>
      <c r="I55" s="1153"/>
      <c r="J55" s="909">
        <f t="shared" si="103"/>
        <v>0</v>
      </c>
      <c r="K55" s="943"/>
      <c r="L55" s="909"/>
      <c r="M55" s="1153"/>
      <c r="N55" s="1153"/>
      <c r="O55" s="909">
        <f t="shared" si="104"/>
        <v>0</v>
      </c>
      <c r="P55" s="943"/>
      <c r="Q55" s="909"/>
      <c r="R55" s="1153"/>
      <c r="S55" s="1153"/>
      <c r="T55" s="909">
        <f t="shared" si="105"/>
        <v>0</v>
      </c>
      <c r="U55" s="943"/>
      <c r="V55" s="909"/>
      <c r="W55" s="909"/>
      <c r="X55" s="1153"/>
      <c r="Y55" s="909">
        <f t="shared" si="106"/>
        <v>0</v>
      </c>
      <c r="Z55" s="943"/>
      <c r="AA55" s="909"/>
      <c r="AB55" s="1153"/>
      <c r="AC55" s="1153"/>
      <c r="AD55" s="909">
        <f t="shared" si="107"/>
        <v>0</v>
      </c>
      <c r="AE55" s="943">
        <f t="shared" si="124"/>
        <v>0</v>
      </c>
      <c r="AF55" s="909"/>
      <c r="AG55" s="1153"/>
      <c r="AH55" s="1153"/>
      <c r="AI55" s="909">
        <f t="shared" si="108"/>
        <v>0</v>
      </c>
      <c r="AJ55" s="943">
        <f t="shared" si="125"/>
        <v>0</v>
      </c>
      <c r="AK55" s="1153"/>
      <c r="AL55" s="1153"/>
      <c r="AM55" s="1153"/>
      <c r="AN55" s="909">
        <f t="shared" si="109"/>
        <v>0</v>
      </c>
      <c r="AO55" s="943">
        <f t="shared" si="126"/>
        <v>0</v>
      </c>
      <c r="AP55" s="909"/>
      <c r="AQ55" s="909"/>
      <c r="AR55" s="909"/>
      <c r="AS55" s="909">
        <f t="shared" si="110"/>
        <v>0</v>
      </c>
      <c r="AT55" s="943">
        <f t="shared" si="127"/>
        <v>0</v>
      </c>
      <c r="AU55" s="909"/>
      <c r="AV55" s="1153"/>
      <c r="AW55" s="1153"/>
      <c r="AX55" s="909">
        <f t="shared" si="111"/>
        <v>0</v>
      </c>
      <c r="AY55" s="943">
        <f t="shared" si="128"/>
        <v>0</v>
      </c>
      <c r="AZ55" s="909"/>
      <c r="BA55" s="909"/>
      <c r="BB55" s="909"/>
      <c r="BC55" s="909">
        <f t="shared" si="112"/>
        <v>0</v>
      </c>
      <c r="BD55" s="943">
        <f t="shared" si="129"/>
        <v>0</v>
      </c>
      <c r="BE55" s="1160">
        <f t="shared" si="130"/>
        <v>0</v>
      </c>
      <c r="BF55" s="1160">
        <f t="shared" si="113"/>
        <v>0</v>
      </c>
      <c r="BG55" s="1160">
        <f t="shared" si="114"/>
        <v>0</v>
      </c>
      <c r="BH55" s="916">
        <f t="shared" si="131"/>
        <v>0</v>
      </c>
      <c r="BI55" s="916">
        <f t="shared" si="131"/>
        <v>0</v>
      </c>
      <c r="BJ55" s="909"/>
      <c r="BK55" s="1153"/>
      <c r="BL55" s="1153"/>
      <c r="BM55" s="909">
        <f t="shared" si="115"/>
        <v>0</v>
      </c>
      <c r="BN55" s="943"/>
      <c r="BO55" s="909"/>
      <c r="BP55" s="1153"/>
      <c r="BQ55" s="1153"/>
      <c r="BR55" s="909">
        <f t="shared" si="116"/>
        <v>0</v>
      </c>
      <c r="BS55" s="943">
        <f t="shared" si="132"/>
        <v>0</v>
      </c>
      <c r="BT55" s="909"/>
      <c r="BU55" s="1153"/>
      <c r="BV55" s="1153"/>
      <c r="BW55" s="909">
        <f t="shared" si="117"/>
        <v>0</v>
      </c>
      <c r="BX55" s="943"/>
      <c r="BY55" s="909"/>
      <c r="BZ55" s="1153"/>
      <c r="CA55" s="1153"/>
      <c r="CB55" s="909">
        <f t="shared" si="118"/>
        <v>0</v>
      </c>
      <c r="CC55" s="943"/>
      <c r="CD55" s="909"/>
      <c r="CE55" s="1153"/>
      <c r="CF55" s="1153"/>
      <c r="CG55" s="909">
        <f t="shared" si="119"/>
        <v>0</v>
      </c>
      <c r="CH55" s="943">
        <f t="shared" si="133"/>
        <v>0</v>
      </c>
      <c r="CI55" s="909"/>
      <c r="CJ55" s="1153"/>
      <c r="CK55" s="1153"/>
      <c r="CL55" s="909">
        <f t="shared" si="120"/>
        <v>0</v>
      </c>
      <c r="CM55" s="943"/>
      <c r="CN55" s="909"/>
      <c r="CO55" s="1153"/>
      <c r="CP55" s="1153"/>
      <c r="CQ55" s="909">
        <f t="shared" si="121"/>
        <v>0</v>
      </c>
      <c r="CR55" s="943">
        <f t="shared" si="134"/>
        <v>0</v>
      </c>
      <c r="CS55" s="909"/>
      <c r="CT55" s="1153"/>
      <c r="CU55" s="1153"/>
      <c r="CV55" s="909">
        <f t="shared" si="122"/>
        <v>0</v>
      </c>
      <c r="CW55" s="943">
        <f t="shared" si="135"/>
        <v>0</v>
      </c>
      <c r="CX55" s="943"/>
      <c r="CY55" s="943"/>
      <c r="CZ55" s="943"/>
      <c r="DA55" s="943">
        <v>0</v>
      </c>
      <c r="DB55" s="943"/>
      <c r="DC55" s="1160">
        <f t="shared" si="136"/>
        <v>0</v>
      </c>
      <c r="DD55" s="1160">
        <f t="shared" si="137"/>
        <v>0</v>
      </c>
      <c r="DE55" s="1160">
        <f t="shared" si="138"/>
        <v>0</v>
      </c>
      <c r="DF55" s="916">
        <f t="shared" si="139"/>
        <v>0</v>
      </c>
      <c r="DG55" s="916">
        <f t="shared" si="139"/>
        <v>0</v>
      </c>
      <c r="DH55" s="916"/>
      <c r="DI55" s="909"/>
      <c r="DJ55" s="909"/>
      <c r="DK55" s="909">
        <f t="shared" si="123"/>
        <v>0</v>
      </c>
      <c r="DL55" s="943"/>
      <c r="DM55" s="1141">
        <f t="shared" si="140"/>
        <v>0</v>
      </c>
      <c r="DN55" s="1141">
        <f t="shared" si="141"/>
        <v>0</v>
      </c>
      <c r="DO55" s="1141">
        <f t="shared" si="142"/>
        <v>0</v>
      </c>
      <c r="DP55" s="916">
        <f t="shared" si="143"/>
        <v>0</v>
      </c>
      <c r="DQ55" s="916">
        <f t="shared" si="143"/>
        <v>0</v>
      </c>
    </row>
    <row r="56" spans="1:123" ht="15" customHeight="1">
      <c r="A56" s="380" t="s">
        <v>734</v>
      </c>
      <c r="B56" s="380"/>
      <c r="C56" s="1153"/>
      <c r="D56" s="1153"/>
      <c r="E56" s="909">
        <f t="shared" si="102"/>
        <v>0</v>
      </c>
      <c r="F56" s="943"/>
      <c r="G56" s="909"/>
      <c r="H56" s="1153"/>
      <c r="I56" s="1153"/>
      <c r="J56" s="909">
        <f t="shared" si="103"/>
        <v>0</v>
      </c>
      <c r="K56" s="943"/>
      <c r="L56" s="909"/>
      <c r="M56" s="1153"/>
      <c r="N56" s="1153"/>
      <c r="O56" s="909">
        <f t="shared" si="104"/>
        <v>0</v>
      </c>
      <c r="P56" s="943"/>
      <c r="Q56" s="909"/>
      <c r="R56" s="1153"/>
      <c r="S56" s="1153"/>
      <c r="T56" s="909">
        <f t="shared" si="105"/>
        <v>0</v>
      </c>
      <c r="U56" s="943"/>
      <c r="V56" s="909"/>
      <c r="W56" s="909"/>
      <c r="X56" s="1153"/>
      <c r="Y56" s="909">
        <f t="shared" si="106"/>
        <v>0</v>
      </c>
      <c r="Z56" s="943"/>
      <c r="AA56" s="909"/>
      <c r="AB56" s="1153"/>
      <c r="AC56" s="1153"/>
      <c r="AD56" s="909">
        <f t="shared" si="107"/>
        <v>0</v>
      </c>
      <c r="AE56" s="943">
        <f t="shared" si="124"/>
        <v>0</v>
      </c>
      <c r="AF56" s="909"/>
      <c r="AG56" s="1153"/>
      <c r="AH56" s="1153"/>
      <c r="AI56" s="909">
        <f t="shared" si="108"/>
        <v>0</v>
      </c>
      <c r="AJ56" s="943">
        <f t="shared" si="125"/>
        <v>0</v>
      </c>
      <c r="AK56" s="1153"/>
      <c r="AL56" s="1153"/>
      <c r="AM56" s="1153"/>
      <c r="AN56" s="909">
        <f t="shared" si="109"/>
        <v>0</v>
      </c>
      <c r="AO56" s="943">
        <f t="shared" si="126"/>
        <v>0</v>
      </c>
      <c r="AP56" s="909"/>
      <c r="AQ56" s="909"/>
      <c r="AR56" s="909"/>
      <c r="AS56" s="909">
        <f t="shared" si="110"/>
        <v>0</v>
      </c>
      <c r="AT56" s="943">
        <f t="shared" si="127"/>
        <v>0</v>
      </c>
      <c r="AU56" s="909"/>
      <c r="AV56" s="1153"/>
      <c r="AW56" s="1153"/>
      <c r="AX56" s="909">
        <f t="shared" si="111"/>
        <v>0</v>
      </c>
      <c r="AY56" s="943">
        <f t="shared" si="128"/>
        <v>0</v>
      </c>
      <c r="AZ56" s="909"/>
      <c r="BA56" s="909"/>
      <c r="BB56" s="909"/>
      <c r="BC56" s="909">
        <f t="shared" si="112"/>
        <v>0</v>
      </c>
      <c r="BD56" s="943">
        <f t="shared" si="129"/>
        <v>0</v>
      </c>
      <c r="BE56" s="1160">
        <f t="shared" si="130"/>
        <v>0</v>
      </c>
      <c r="BF56" s="1160">
        <f t="shared" si="113"/>
        <v>0</v>
      </c>
      <c r="BG56" s="1160">
        <f t="shared" si="114"/>
        <v>0</v>
      </c>
      <c r="BH56" s="916">
        <f t="shared" si="131"/>
        <v>0</v>
      </c>
      <c r="BI56" s="916">
        <f t="shared" si="131"/>
        <v>0</v>
      </c>
      <c r="BJ56" s="909"/>
      <c r="BK56" s="1153"/>
      <c r="BL56" s="1153"/>
      <c r="BM56" s="909">
        <f t="shared" si="115"/>
        <v>0</v>
      </c>
      <c r="BN56" s="943"/>
      <c r="BO56" s="909"/>
      <c r="BP56" s="1153"/>
      <c r="BQ56" s="1153"/>
      <c r="BR56" s="909">
        <f t="shared" si="116"/>
        <v>0</v>
      </c>
      <c r="BS56" s="943">
        <f t="shared" si="132"/>
        <v>0</v>
      </c>
      <c r="BT56" s="909"/>
      <c r="BU56" s="1153"/>
      <c r="BV56" s="1153"/>
      <c r="BW56" s="909">
        <f t="shared" si="117"/>
        <v>0</v>
      </c>
      <c r="BX56" s="943"/>
      <c r="BY56" s="909"/>
      <c r="BZ56" s="1153"/>
      <c r="CA56" s="1153"/>
      <c r="CB56" s="909">
        <f t="shared" si="118"/>
        <v>0</v>
      </c>
      <c r="CC56" s="943"/>
      <c r="CD56" s="909"/>
      <c r="CE56" s="1153"/>
      <c r="CF56" s="1153"/>
      <c r="CG56" s="909">
        <f t="shared" si="119"/>
        <v>0</v>
      </c>
      <c r="CH56" s="943">
        <f t="shared" si="133"/>
        <v>0</v>
      </c>
      <c r="CI56" s="909"/>
      <c r="CJ56" s="1153"/>
      <c r="CK56" s="1153"/>
      <c r="CL56" s="909">
        <f t="shared" si="120"/>
        <v>0</v>
      </c>
      <c r="CM56" s="943"/>
      <c r="CN56" s="909"/>
      <c r="CO56" s="1153"/>
      <c r="CP56" s="1153"/>
      <c r="CQ56" s="909">
        <f t="shared" si="121"/>
        <v>0</v>
      </c>
      <c r="CR56" s="943">
        <f t="shared" si="134"/>
        <v>0</v>
      </c>
      <c r="CS56" s="909"/>
      <c r="CT56" s="1153"/>
      <c r="CU56" s="1153"/>
      <c r="CV56" s="909">
        <f t="shared" si="122"/>
        <v>0</v>
      </c>
      <c r="CW56" s="943">
        <f t="shared" si="135"/>
        <v>0</v>
      </c>
      <c r="CX56" s="943"/>
      <c r="CY56" s="943"/>
      <c r="CZ56" s="943"/>
      <c r="DA56" s="943">
        <v>0</v>
      </c>
      <c r="DB56" s="943"/>
      <c r="DC56" s="1160">
        <f t="shared" si="136"/>
        <v>0</v>
      </c>
      <c r="DD56" s="1160">
        <f t="shared" si="137"/>
        <v>0</v>
      </c>
      <c r="DE56" s="1160">
        <f t="shared" si="138"/>
        <v>0</v>
      </c>
      <c r="DF56" s="916">
        <f t="shared" si="139"/>
        <v>0</v>
      </c>
      <c r="DG56" s="916">
        <f t="shared" si="139"/>
        <v>0</v>
      </c>
      <c r="DH56" s="916"/>
      <c r="DI56" s="909"/>
      <c r="DJ56" s="909"/>
      <c r="DK56" s="909">
        <f t="shared" si="123"/>
        <v>0</v>
      </c>
      <c r="DL56" s="943"/>
      <c r="DM56" s="1141">
        <f t="shared" si="140"/>
        <v>0</v>
      </c>
      <c r="DN56" s="1141">
        <f t="shared" si="141"/>
        <v>0</v>
      </c>
      <c r="DO56" s="1141">
        <f t="shared" si="142"/>
        <v>0</v>
      </c>
      <c r="DP56" s="916">
        <f t="shared" si="143"/>
        <v>0</v>
      </c>
      <c r="DQ56" s="916">
        <f t="shared" si="143"/>
        <v>0</v>
      </c>
    </row>
    <row r="57" spans="1:123" ht="15" customHeight="1">
      <c r="A57" s="380" t="s">
        <v>735</v>
      </c>
      <c r="B57" s="380"/>
      <c r="C57" s="1153"/>
      <c r="D57" s="1153"/>
      <c r="E57" s="909">
        <f t="shared" si="102"/>
        <v>0</v>
      </c>
      <c r="F57" s="943"/>
      <c r="G57" s="909"/>
      <c r="H57" s="1153"/>
      <c r="I57" s="1153"/>
      <c r="J57" s="909">
        <f t="shared" si="103"/>
        <v>0</v>
      </c>
      <c r="K57" s="943"/>
      <c r="L57" s="909"/>
      <c r="M57" s="1153"/>
      <c r="N57" s="1153"/>
      <c r="O57" s="909">
        <f t="shared" si="104"/>
        <v>0</v>
      </c>
      <c r="P57" s="943"/>
      <c r="Q57" s="909"/>
      <c r="R57" s="1153"/>
      <c r="S57" s="1153"/>
      <c r="T57" s="909">
        <f t="shared" si="105"/>
        <v>0</v>
      </c>
      <c r="U57" s="943"/>
      <c r="V57" s="909"/>
      <c r="W57" s="909"/>
      <c r="X57" s="1153"/>
      <c r="Y57" s="909">
        <f t="shared" si="106"/>
        <v>0</v>
      </c>
      <c r="Z57" s="943"/>
      <c r="AA57" s="909"/>
      <c r="AB57" s="1153"/>
      <c r="AC57" s="1153"/>
      <c r="AD57" s="909">
        <f t="shared" si="107"/>
        <v>0</v>
      </c>
      <c r="AE57" s="943">
        <f t="shared" si="124"/>
        <v>0</v>
      </c>
      <c r="AF57" s="909"/>
      <c r="AG57" s="1153"/>
      <c r="AH57" s="1153"/>
      <c r="AI57" s="909">
        <f t="shared" si="108"/>
        <v>0</v>
      </c>
      <c r="AJ57" s="943">
        <f t="shared" si="125"/>
        <v>0</v>
      </c>
      <c r="AK57" s="1153"/>
      <c r="AL57" s="1153"/>
      <c r="AM57" s="1153"/>
      <c r="AN57" s="909">
        <f t="shared" si="109"/>
        <v>0</v>
      </c>
      <c r="AO57" s="943">
        <f t="shared" si="126"/>
        <v>0</v>
      </c>
      <c r="AP57" s="909"/>
      <c r="AQ57" s="909"/>
      <c r="AR57" s="909"/>
      <c r="AS57" s="909">
        <f t="shared" si="110"/>
        <v>0</v>
      </c>
      <c r="AT57" s="943">
        <f t="shared" si="127"/>
        <v>0</v>
      </c>
      <c r="AU57" s="909"/>
      <c r="AV57" s="1153"/>
      <c r="AW57" s="1153"/>
      <c r="AX57" s="909">
        <f t="shared" si="111"/>
        <v>0</v>
      </c>
      <c r="AY57" s="943">
        <f t="shared" si="128"/>
        <v>0</v>
      </c>
      <c r="AZ57" s="909"/>
      <c r="BA57" s="909"/>
      <c r="BB57" s="909"/>
      <c r="BC57" s="909">
        <f t="shared" si="112"/>
        <v>0</v>
      </c>
      <c r="BD57" s="943">
        <f t="shared" si="129"/>
        <v>0</v>
      </c>
      <c r="BE57" s="1160">
        <f t="shared" si="130"/>
        <v>0</v>
      </c>
      <c r="BF57" s="1160">
        <f t="shared" si="113"/>
        <v>0</v>
      </c>
      <c r="BG57" s="1160">
        <f t="shared" si="114"/>
        <v>0</v>
      </c>
      <c r="BH57" s="916">
        <f t="shared" si="131"/>
        <v>0</v>
      </c>
      <c r="BI57" s="916">
        <f t="shared" si="131"/>
        <v>0</v>
      </c>
      <c r="BJ57" s="909"/>
      <c r="BK57" s="1153"/>
      <c r="BL57" s="1153"/>
      <c r="BM57" s="909">
        <f t="shared" si="115"/>
        <v>0</v>
      </c>
      <c r="BN57" s="943"/>
      <c r="BO57" s="909"/>
      <c r="BP57" s="1153"/>
      <c r="BQ57" s="1153"/>
      <c r="BR57" s="909">
        <f t="shared" si="116"/>
        <v>0</v>
      </c>
      <c r="BS57" s="943">
        <f t="shared" si="132"/>
        <v>0</v>
      </c>
      <c r="BT57" s="909"/>
      <c r="BU57" s="1153"/>
      <c r="BV57" s="1153"/>
      <c r="BW57" s="909">
        <f t="shared" si="117"/>
        <v>0</v>
      </c>
      <c r="BX57" s="943"/>
      <c r="BY57" s="909"/>
      <c r="BZ57" s="1153"/>
      <c r="CA57" s="1153"/>
      <c r="CB57" s="909">
        <f t="shared" si="118"/>
        <v>0</v>
      </c>
      <c r="CC57" s="943"/>
      <c r="CD57" s="909"/>
      <c r="CE57" s="1153"/>
      <c r="CF57" s="1153"/>
      <c r="CG57" s="909">
        <f t="shared" si="119"/>
        <v>0</v>
      </c>
      <c r="CH57" s="943">
        <f t="shared" si="133"/>
        <v>0</v>
      </c>
      <c r="CI57" s="909"/>
      <c r="CJ57" s="1153"/>
      <c r="CK57" s="1153"/>
      <c r="CL57" s="909">
        <f t="shared" si="120"/>
        <v>0</v>
      </c>
      <c r="CM57" s="943"/>
      <c r="CN57" s="909"/>
      <c r="CO57" s="1153"/>
      <c r="CP57" s="1153"/>
      <c r="CQ57" s="909">
        <f t="shared" si="121"/>
        <v>0</v>
      </c>
      <c r="CR57" s="943">
        <f t="shared" si="134"/>
        <v>0</v>
      </c>
      <c r="CS57" s="909"/>
      <c r="CT57" s="1153"/>
      <c r="CU57" s="1153"/>
      <c r="CV57" s="909">
        <f t="shared" si="122"/>
        <v>0</v>
      </c>
      <c r="CW57" s="943">
        <f t="shared" si="135"/>
        <v>0</v>
      </c>
      <c r="CX57" s="943"/>
      <c r="CY57" s="943"/>
      <c r="CZ57" s="943"/>
      <c r="DA57" s="943">
        <v>0</v>
      </c>
      <c r="DB57" s="943"/>
      <c r="DC57" s="1160">
        <f t="shared" si="136"/>
        <v>0</v>
      </c>
      <c r="DD57" s="1160">
        <f t="shared" si="137"/>
        <v>0</v>
      </c>
      <c r="DE57" s="1160">
        <f t="shared" si="138"/>
        <v>0</v>
      </c>
      <c r="DF57" s="916">
        <f t="shared" si="139"/>
        <v>0</v>
      </c>
      <c r="DG57" s="916">
        <f t="shared" si="139"/>
        <v>0</v>
      </c>
      <c r="DH57" s="916"/>
      <c r="DI57" s="909"/>
      <c r="DJ57" s="909"/>
      <c r="DK57" s="909">
        <f t="shared" si="123"/>
        <v>0</v>
      </c>
      <c r="DL57" s="943"/>
      <c r="DM57" s="1141">
        <f t="shared" si="140"/>
        <v>0</v>
      </c>
      <c r="DN57" s="1141">
        <f t="shared" si="141"/>
        <v>0</v>
      </c>
      <c r="DO57" s="1141">
        <f t="shared" si="142"/>
        <v>0</v>
      </c>
      <c r="DP57" s="916">
        <f t="shared" si="143"/>
        <v>0</v>
      </c>
      <c r="DQ57" s="916">
        <f t="shared" si="143"/>
        <v>0</v>
      </c>
    </row>
    <row r="58" spans="1:123" ht="15" hidden="1" customHeight="1">
      <c r="A58" s="380" t="s">
        <v>736</v>
      </c>
      <c r="B58" s="380"/>
      <c r="C58" s="1153"/>
      <c r="D58" s="1153"/>
      <c r="E58" s="909">
        <f t="shared" si="102"/>
        <v>0</v>
      </c>
      <c r="F58" s="909"/>
      <c r="G58" s="909"/>
      <c r="H58" s="1153"/>
      <c r="I58" s="1153"/>
      <c r="J58" s="909">
        <f t="shared" si="103"/>
        <v>0</v>
      </c>
      <c r="K58" s="909"/>
      <c r="L58" s="909"/>
      <c r="M58" s="1153"/>
      <c r="N58" s="1153"/>
      <c r="O58" s="909">
        <f t="shared" si="104"/>
        <v>0</v>
      </c>
      <c r="P58" s="909"/>
      <c r="Q58" s="909"/>
      <c r="R58" s="1153"/>
      <c r="S58" s="1153"/>
      <c r="T58" s="909">
        <f t="shared" si="105"/>
        <v>0</v>
      </c>
      <c r="U58" s="909"/>
      <c r="V58" s="909"/>
      <c r="W58" s="909"/>
      <c r="X58" s="1153"/>
      <c r="Y58" s="909">
        <f t="shared" si="106"/>
        <v>0</v>
      </c>
      <c r="Z58" s="909"/>
      <c r="AA58" s="909"/>
      <c r="AB58" s="1153"/>
      <c r="AC58" s="1153"/>
      <c r="AD58" s="909">
        <f t="shared" si="107"/>
        <v>0</v>
      </c>
      <c r="AE58" s="909"/>
      <c r="AF58" s="909"/>
      <c r="AG58" s="1153"/>
      <c r="AH58" s="1153"/>
      <c r="AI58" s="909">
        <f t="shared" si="108"/>
        <v>0</v>
      </c>
      <c r="AJ58" s="909"/>
      <c r="AK58" s="909"/>
      <c r="AL58" s="1153"/>
      <c r="AM58" s="1153"/>
      <c r="AN58" s="909">
        <f t="shared" si="109"/>
        <v>0</v>
      </c>
      <c r="AO58" s="909"/>
      <c r="AP58" s="909"/>
      <c r="AQ58" s="909"/>
      <c r="AR58" s="909"/>
      <c r="AS58" s="909">
        <f t="shared" si="110"/>
        <v>0</v>
      </c>
      <c r="AT58" s="909"/>
      <c r="AU58" s="909"/>
      <c r="AV58" s="1153"/>
      <c r="AW58" s="1153"/>
      <c r="AX58" s="909">
        <f t="shared" si="111"/>
        <v>0</v>
      </c>
      <c r="AY58" s="909"/>
      <c r="AZ58" s="909"/>
      <c r="BA58" s="909"/>
      <c r="BB58" s="909"/>
      <c r="BC58" s="909">
        <f t="shared" si="112"/>
        <v>0</v>
      </c>
      <c r="BD58" s="909"/>
      <c r="BE58" s="909"/>
      <c r="BF58" s="1160"/>
      <c r="BG58" s="1160"/>
      <c r="BH58" s="916">
        <f>SUM(BF58+BG58)</f>
        <v>0</v>
      </c>
      <c r="BI58" s="916"/>
      <c r="BJ58" s="909"/>
      <c r="BK58" s="1153"/>
      <c r="BL58" s="1153"/>
      <c r="BM58" s="909">
        <f t="shared" si="115"/>
        <v>0</v>
      </c>
      <c r="BN58" s="909"/>
      <c r="BO58" s="909"/>
      <c r="BP58" s="1153"/>
      <c r="BQ58" s="1153"/>
      <c r="BR58" s="909">
        <f t="shared" si="116"/>
        <v>0</v>
      </c>
      <c r="BS58" s="909"/>
      <c r="BT58" s="909"/>
      <c r="BU58" s="1153"/>
      <c r="BV58" s="1153"/>
      <c r="BW58" s="909">
        <f t="shared" si="117"/>
        <v>0</v>
      </c>
      <c r="BX58" s="909"/>
      <c r="BY58" s="909"/>
      <c r="BZ58" s="1153"/>
      <c r="CA58" s="1153"/>
      <c r="CB58" s="909">
        <f t="shared" si="118"/>
        <v>0</v>
      </c>
      <c r="CC58" s="909"/>
      <c r="CD58" s="909"/>
      <c r="CE58" s="1153"/>
      <c r="CF58" s="1153"/>
      <c r="CG58" s="909">
        <f t="shared" si="119"/>
        <v>0</v>
      </c>
      <c r="CH58" s="909"/>
      <c r="CI58" s="909"/>
      <c r="CJ58" s="1153"/>
      <c r="CK58" s="1153"/>
      <c r="CL58" s="909">
        <f t="shared" si="120"/>
        <v>0</v>
      </c>
      <c r="CM58" s="909"/>
      <c r="CN58" s="909"/>
      <c r="CO58" s="1153"/>
      <c r="CP58" s="1153"/>
      <c r="CQ58" s="909">
        <f t="shared" si="121"/>
        <v>0</v>
      </c>
      <c r="CR58" s="909"/>
      <c r="CS58" s="909"/>
      <c r="CT58" s="1153"/>
      <c r="CU58" s="1153"/>
      <c r="CV58" s="909">
        <f t="shared" si="122"/>
        <v>0</v>
      </c>
      <c r="CW58" s="909"/>
      <c r="CX58" s="909"/>
      <c r="CY58" s="909"/>
      <c r="CZ58" s="909"/>
      <c r="DA58" s="909"/>
      <c r="DB58" s="909"/>
      <c r="DC58" s="916"/>
      <c r="DD58" s="1160"/>
      <c r="DE58" s="1160"/>
      <c r="DF58" s="916">
        <f>SUM(DD58+DE58)</f>
        <v>0</v>
      </c>
      <c r="DG58" s="916"/>
      <c r="DH58" s="916"/>
      <c r="DI58" s="909"/>
      <c r="DJ58" s="909"/>
      <c r="DK58" s="909">
        <f t="shared" si="123"/>
        <v>0</v>
      </c>
      <c r="DL58" s="909"/>
      <c r="DM58" s="916"/>
      <c r="DN58" s="1141">
        <f>BF58+DD58</f>
        <v>0</v>
      </c>
      <c r="DO58" s="1141">
        <f>BG58+DE58</f>
        <v>0</v>
      </c>
      <c r="DP58" s="916">
        <f>SUM(DN58:DO58)</f>
        <v>0</v>
      </c>
      <c r="DQ58" s="1157"/>
    </row>
    <row r="59" spans="1:123" ht="15" customHeight="1">
      <c r="A59" s="1163" t="s">
        <v>737</v>
      </c>
      <c r="B59" s="1155">
        <f t="shared" ref="B59:AG59" si="144">SUM(B46:B58)</f>
        <v>0</v>
      </c>
      <c r="C59" s="1155">
        <f t="shared" si="144"/>
        <v>0</v>
      </c>
      <c r="D59" s="1155">
        <f t="shared" si="144"/>
        <v>0</v>
      </c>
      <c r="E59" s="1155">
        <f t="shared" si="144"/>
        <v>0</v>
      </c>
      <c r="F59" s="1155">
        <f t="shared" si="144"/>
        <v>0</v>
      </c>
      <c r="G59" s="1155">
        <f t="shared" si="144"/>
        <v>0</v>
      </c>
      <c r="H59" s="1155">
        <f t="shared" si="144"/>
        <v>0</v>
      </c>
      <c r="I59" s="1155">
        <f t="shared" si="144"/>
        <v>0</v>
      </c>
      <c r="J59" s="1155">
        <f t="shared" si="144"/>
        <v>0</v>
      </c>
      <c r="K59" s="1155">
        <f t="shared" si="144"/>
        <v>0</v>
      </c>
      <c r="L59" s="1155">
        <f t="shared" si="144"/>
        <v>0</v>
      </c>
      <c r="M59" s="1155">
        <f t="shared" si="144"/>
        <v>0</v>
      </c>
      <c r="N59" s="1155">
        <f t="shared" si="144"/>
        <v>0</v>
      </c>
      <c r="O59" s="1155">
        <f t="shared" si="144"/>
        <v>0</v>
      </c>
      <c r="P59" s="1155">
        <f t="shared" si="144"/>
        <v>0</v>
      </c>
      <c r="Q59" s="1155">
        <f t="shared" si="144"/>
        <v>0</v>
      </c>
      <c r="R59" s="1155">
        <f t="shared" si="144"/>
        <v>0</v>
      </c>
      <c r="S59" s="1155">
        <f t="shared" si="144"/>
        <v>0</v>
      </c>
      <c r="T59" s="1155">
        <f t="shared" si="144"/>
        <v>0</v>
      </c>
      <c r="U59" s="1155">
        <f t="shared" si="144"/>
        <v>0</v>
      </c>
      <c r="V59" s="1155">
        <f t="shared" si="144"/>
        <v>0</v>
      </c>
      <c r="W59" s="1155">
        <f t="shared" si="144"/>
        <v>0</v>
      </c>
      <c r="X59" s="1155">
        <f t="shared" si="144"/>
        <v>0</v>
      </c>
      <c r="Y59" s="1155">
        <f t="shared" si="144"/>
        <v>0</v>
      </c>
      <c r="Z59" s="1155">
        <f t="shared" si="144"/>
        <v>0</v>
      </c>
      <c r="AA59" s="1155">
        <f t="shared" si="144"/>
        <v>0</v>
      </c>
      <c r="AB59" s="1155">
        <f t="shared" si="144"/>
        <v>0</v>
      </c>
      <c r="AC59" s="1155">
        <f t="shared" si="144"/>
        <v>0</v>
      </c>
      <c r="AD59" s="1155">
        <f t="shared" si="144"/>
        <v>0</v>
      </c>
      <c r="AE59" s="1155">
        <f t="shared" si="144"/>
        <v>0</v>
      </c>
      <c r="AF59" s="1155">
        <f t="shared" si="144"/>
        <v>0</v>
      </c>
      <c r="AG59" s="1155">
        <f t="shared" si="144"/>
        <v>0</v>
      </c>
      <c r="AH59" s="1155">
        <f t="shared" ref="AH59:BM59" si="145">SUM(AH46:AH58)</f>
        <v>0</v>
      </c>
      <c r="AI59" s="1155">
        <f t="shared" si="145"/>
        <v>0</v>
      </c>
      <c r="AJ59" s="1155">
        <f t="shared" si="145"/>
        <v>0</v>
      </c>
      <c r="AK59" s="1155">
        <f t="shared" si="145"/>
        <v>0</v>
      </c>
      <c r="AL59" s="1155">
        <f t="shared" si="145"/>
        <v>0</v>
      </c>
      <c r="AM59" s="1155">
        <f t="shared" si="145"/>
        <v>0</v>
      </c>
      <c r="AN59" s="1155">
        <f t="shared" si="145"/>
        <v>0</v>
      </c>
      <c r="AO59" s="1155">
        <f t="shared" si="145"/>
        <v>0</v>
      </c>
      <c r="AP59" s="1155">
        <f t="shared" si="145"/>
        <v>0</v>
      </c>
      <c r="AQ59" s="1155">
        <f t="shared" si="145"/>
        <v>0</v>
      </c>
      <c r="AR59" s="1155">
        <f t="shared" si="145"/>
        <v>0</v>
      </c>
      <c r="AS59" s="1155">
        <f t="shared" si="145"/>
        <v>0</v>
      </c>
      <c r="AT59" s="1155">
        <f t="shared" si="145"/>
        <v>0</v>
      </c>
      <c r="AU59" s="1155">
        <f t="shared" si="145"/>
        <v>0</v>
      </c>
      <c r="AV59" s="1155">
        <f t="shared" si="145"/>
        <v>0</v>
      </c>
      <c r="AW59" s="1155">
        <f t="shared" si="145"/>
        <v>0</v>
      </c>
      <c r="AX59" s="1155">
        <f t="shared" si="145"/>
        <v>0</v>
      </c>
      <c r="AY59" s="1155">
        <f t="shared" si="145"/>
        <v>0</v>
      </c>
      <c r="AZ59" s="1155">
        <f t="shared" si="145"/>
        <v>0</v>
      </c>
      <c r="BA59" s="1155">
        <f t="shared" si="145"/>
        <v>0</v>
      </c>
      <c r="BB59" s="1155">
        <f t="shared" si="145"/>
        <v>0</v>
      </c>
      <c r="BC59" s="1155">
        <f t="shared" si="145"/>
        <v>0</v>
      </c>
      <c r="BD59" s="1155">
        <f t="shared" si="145"/>
        <v>0</v>
      </c>
      <c r="BE59" s="1155">
        <f t="shared" si="145"/>
        <v>0</v>
      </c>
      <c r="BF59" s="1155">
        <f t="shared" si="145"/>
        <v>0</v>
      </c>
      <c r="BG59" s="1155">
        <f t="shared" si="145"/>
        <v>0</v>
      </c>
      <c r="BH59" s="1155">
        <f t="shared" si="145"/>
        <v>0</v>
      </c>
      <c r="BI59" s="1155">
        <f t="shared" si="145"/>
        <v>0</v>
      </c>
      <c r="BJ59" s="1154">
        <f t="shared" si="145"/>
        <v>0</v>
      </c>
      <c r="BK59" s="1155">
        <f t="shared" si="145"/>
        <v>0</v>
      </c>
      <c r="BL59" s="1155">
        <f t="shared" si="145"/>
        <v>0</v>
      </c>
      <c r="BM59" s="1155">
        <f t="shared" si="145"/>
        <v>0</v>
      </c>
      <c r="BN59" s="1155">
        <f t="shared" ref="BN59:CS59" si="146">SUM(BN46:BN58)</f>
        <v>0</v>
      </c>
      <c r="BO59" s="1155">
        <f t="shared" si="146"/>
        <v>0</v>
      </c>
      <c r="BP59" s="1155">
        <f t="shared" si="146"/>
        <v>0</v>
      </c>
      <c r="BQ59" s="1155">
        <f t="shared" si="146"/>
        <v>0</v>
      </c>
      <c r="BR59" s="1155">
        <f t="shared" si="146"/>
        <v>0</v>
      </c>
      <c r="BS59" s="1155">
        <f t="shared" si="146"/>
        <v>0</v>
      </c>
      <c r="BT59" s="1155">
        <f t="shared" si="146"/>
        <v>0</v>
      </c>
      <c r="BU59" s="1155">
        <f t="shared" si="146"/>
        <v>0</v>
      </c>
      <c r="BV59" s="1155">
        <f t="shared" si="146"/>
        <v>0</v>
      </c>
      <c r="BW59" s="1155">
        <f t="shared" si="146"/>
        <v>0</v>
      </c>
      <c r="BX59" s="1155">
        <f t="shared" si="146"/>
        <v>0</v>
      </c>
      <c r="BY59" s="1155">
        <f t="shared" si="146"/>
        <v>0</v>
      </c>
      <c r="BZ59" s="1155">
        <f t="shared" si="146"/>
        <v>0</v>
      </c>
      <c r="CA59" s="1155">
        <f t="shared" si="146"/>
        <v>0</v>
      </c>
      <c r="CB59" s="1155">
        <f t="shared" si="146"/>
        <v>0</v>
      </c>
      <c r="CC59" s="1155">
        <f t="shared" si="146"/>
        <v>0</v>
      </c>
      <c r="CD59" s="1155">
        <f t="shared" si="146"/>
        <v>0</v>
      </c>
      <c r="CE59" s="1155">
        <f t="shared" si="146"/>
        <v>0</v>
      </c>
      <c r="CF59" s="1155">
        <f t="shared" si="146"/>
        <v>0</v>
      </c>
      <c r="CG59" s="1155">
        <f t="shared" si="146"/>
        <v>0</v>
      </c>
      <c r="CH59" s="1155">
        <f t="shared" si="146"/>
        <v>0</v>
      </c>
      <c r="CI59" s="1155">
        <f t="shared" si="146"/>
        <v>0</v>
      </c>
      <c r="CJ59" s="1155">
        <f t="shared" si="146"/>
        <v>0</v>
      </c>
      <c r="CK59" s="1155">
        <f t="shared" si="146"/>
        <v>0</v>
      </c>
      <c r="CL59" s="1155">
        <f t="shared" si="146"/>
        <v>0</v>
      </c>
      <c r="CM59" s="1155">
        <f t="shared" si="146"/>
        <v>0</v>
      </c>
      <c r="CN59" s="1155">
        <f t="shared" si="146"/>
        <v>0</v>
      </c>
      <c r="CO59" s="1155">
        <f t="shared" si="146"/>
        <v>0</v>
      </c>
      <c r="CP59" s="1155">
        <f t="shared" si="146"/>
        <v>0</v>
      </c>
      <c r="CQ59" s="1155">
        <f t="shared" si="146"/>
        <v>0</v>
      </c>
      <c r="CR59" s="1155">
        <f t="shared" si="146"/>
        <v>0</v>
      </c>
      <c r="CS59" s="1155">
        <f t="shared" si="146"/>
        <v>0</v>
      </c>
      <c r="CT59" s="1155">
        <f>SUM(CT46:CT58)</f>
        <v>0</v>
      </c>
      <c r="CU59" s="1155">
        <f>SUM(CU46:CU58)</f>
        <v>0</v>
      </c>
      <c r="CV59" s="1155">
        <f>SUM(CV46:CV58)</f>
        <v>0</v>
      </c>
      <c r="CW59" s="1155">
        <f>SUM(CW46:CW58)</f>
        <v>0</v>
      </c>
      <c r="CX59" s="1155"/>
      <c r="CY59" s="1155"/>
      <c r="CZ59" s="1155"/>
      <c r="DA59" s="1155">
        <f>SUM(DA46:DA58)</f>
        <v>0</v>
      </c>
      <c r="DB59" s="1155"/>
      <c r="DC59" s="1155">
        <f t="shared" ref="DC59:DQ59" si="147">SUM(DC46:DC58)</f>
        <v>0</v>
      </c>
      <c r="DD59" s="1155">
        <f t="shared" si="147"/>
        <v>0</v>
      </c>
      <c r="DE59" s="1155">
        <f t="shared" si="147"/>
        <v>0</v>
      </c>
      <c r="DF59" s="1155">
        <f t="shared" si="147"/>
        <v>0</v>
      </c>
      <c r="DG59" s="1155">
        <f t="shared" si="147"/>
        <v>0</v>
      </c>
      <c r="DH59" s="1155">
        <f t="shared" si="147"/>
        <v>0</v>
      </c>
      <c r="DI59" s="1155">
        <f t="shared" si="147"/>
        <v>0</v>
      </c>
      <c r="DJ59" s="1155">
        <f t="shared" si="147"/>
        <v>0</v>
      </c>
      <c r="DK59" s="1155">
        <f t="shared" si="147"/>
        <v>0</v>
      </c>
      <c r="DL59" s="1155">
        <f t="shared" si="147"/>
        <v>0</v>
      </c>
      <c r="DM59" s="1155">
        <f t="shared" si="147"/>
        <v>0</v>
      </c>
      <c r="DN59" s="1155">
        <f t="shared" si="147"/>
        <v>0</v>
      </c>
      <c r="DO59" s="1155">
        <f t="shared" si="147"/>
        <v>0</v>
      </c>
      <c r="DP59" s="1155">
        <f t="shared" si="147"/>
        <v>0</v>
      </c>
      <c r="DQ59" s="1155">
        <f t="shared" si="147"/>
        <v>0</v>
      </c>
    </row>
    <row r="60" spans="1:123" s="380" customFormat="1" ht="15" customHeight="1">
      <c r="A60" s="1164" t="s">
        <v>738</v>
      </c>
      <c r="B60" s="1158">
        <f t="shared" ref="B60:AG60" si="148">SUM(B45+B59)</f>
        <v>174167000</v>
      </c>
      <c r="C60" s="1158">
        <f t="shared" si="148"/>
        <v>194096128</v>
      </c>
      <c r="D60" s="1158">
        <f t="shared" si="148"/>
        <v>734937</v>
      </c>
      <c r="E60" s="1158">
        <f t="shared" si="148"/>
        <v>216042937</v>
      </c>
      <c r="F60" s="1158">
        <f t="shared" si="148"/>
        <v>188389560</v>
      </c>
      <c r="G60" s="1158">
        <f t="shared" si="148"/>
        <v>898508000</v>
      </c>
      <c r="H60" s="1158">
        <f t="shared" si="148"/>
        <v>905527290</v>
      </c>
      <c r="I60" s="1158">
        <f t="shared" si="148"/>
        <v>0</v>
      </c>
      <c r="J60" s="1158">
        <f t="shared" si="148"/>
        <v>928741790</v>
      </c>
      <c r="K60" s="1158">
        <f t="shared" si="148"/>
        <v>744975440</v>
      </c>
      <c r="L60" s="1158">
        <f t="shared" si="148"/>
        <v>155234000</v>
      </c>
      <c r="M60" s="1158">
        <f t="shared" si="148"/>
        <v>155234000</v>
      </c>
      <c r="N60" s="1158">
        <f t="shared" si="148"/>
        <v>0</v>
      </c>
      <c r="O60" s="1158">
        <f t="shared" si="148"/>
        <v>145234000</v>
      </c>
      <c r="P60" s="1158">
        <f t="shared" si="148"/>
        <v>145234658</v>
      </c>
      <c r="Q60" s="1158">
        <f t="shared" si="148"/>
        <v>509705000</v>
      </c>
      <c r="R60" s="1158">
        <f t="shared" si="148"/>
        <v>526479720</v>
      </c>
      <c r="S60" s="1158">
        <f t="shared" si="148"/>
        <v>682719</v>
      </c>
      <c r="T60" s="1158">
        <f t="shared" si="148"/>
        <v>568491753</v>
      </c>
      <c r="U60" s="1158">
        <f t="shared" si="148"/>
        <v>550927172</v>
      </c>
      <c r="V60" s="1158">
        <f t="shared" si="148"/>
        <v>100226000</v>
      </c>
      <c r="W60" s="1158">
        <f t="shared" si="148"/>
        <v>100226000</v>
      </c>
      <c r="X60" s="1158">
        <f t="shared" si="148"/>
        <v>0</v>
      </c>
      <c r="Y60" s="1158">
        <f t="shared" si="148"/>
        <v>101623000</v>
      </c>
      <c r="Z60" s="1158">
        <f t="shared" si="148"/>
        <v>98198943</v>
      </c>
      <c r="AA60" s="1158">
        <f t="shared" si="148"/>
        <v>0</v>
      </c>
      <c r="AB60" s="1158">
        <f t="shared" si="148"/>
        <v>0</v>
      </c>
      <c r="AC60" s="1158">
        <f t="shared" si="148"/>
        <v>0</v>
      </c>
      <c r="AD60" s="1158">
        <f t="shared" si="148"/>
        <v>0</v>
      </c>
      <c r="AE60" s="1158">
        <f t="shared" si="148"/>
        <v>0</v>
      </c>
      <c r="AF60" s="1158">
        <f t="shared" si="148"/>
        <v>0</v>
      </c>
      <c r="AG60" s="1158">
        <f t="shared" si="148"/>
        <v>0</v>
      </c>
      <c r="AH60" s="1158">
        <f t="shared" ref="AH60:BM60" si="149">SUM(AH45+AH59)</f>
        <v>0</v>
      </c>
      <c r="AI60" s="1158">
        <f t="shared" si="149"/>
        <v>0</v>
      </c>
      <c r="AJ60" s="1158">
        <f t="shared" si="149"/>
        <v>0</v>
      </c>
      <c r="AK60" s="1158">
        <f t="shared" si="149"/>
        <v>0</v>
      </c>
      <c r="AL60" s="1158">
        <f t="shared" si="149"/>
        <v>0</v>
      </c>
      <c r="AM60" s="1158">
        <f t="shared" si="149"/>
        <v>0</v>
      </c>
      <c r="AN60" s="1158">
        <f t="shared" si="149"/>
        <v>0</v>
      </c>
      <c r="AO60" s="1158">
        <f t="shared" si="149"/>
        <v>0</v>
      </c>
      <c r="AP60" s="1158">
        <f t="shared" si="149"/>
        <v>0</v>
      </c>
      <c r="AQ60" s="1158">
        <f t="shared" si="149"/>
        <v>0</v>
      </c>
      <c r="AR60" s="1158">
        <f t="shared" si="149"/>
        <v>0</v>
      </c>
      <c r="AS60" s="1158">
        <f t="shared" si="149"/>
        <v>0</v>
      </c>
      <c r="AT60" s="1158">
        <f t="shared" si="149"/>
        <v>0</v>
      </c>
      <c r="AU60" s="1158">
        <f t="shared" si="149"/>
        <v>0</v>
      </c>
      <c r="AV60" s="1158">
        <f t="shared" si="149"/>
        <v>0</v>
      </c>
      <c r="AW60" s="1158">
        <f t="shared" si="149"/>
        <v>0</v>
      </c>
      <c r="AX60" s="1158">
        <f t="shared" si="149"/>
        <v>0</v>
      </c>
      <c r="AY60" s="1158">
        <f t="shared" si="149"/>
        <v>0</v>
      </c>
      <c r="AZ60" s="1158">
        <f t="shared" si="149"/>
        <v>0</v>
      </c>
      <c r="BA60" s="1158">
        <f t="shared" si="149"/>
        <v>0</v>
      </c>
      <c r="BB60" s="1158">
        <f t="shared" si="149"/>
        <v>0</v>
      </c>
      <c r="BC60" s="1158">
        <f t="shared" si="149"/>
        <v>0</v>
      </c>
      <c r="BD60" s="1158">
        <f t="shared" si="149"/>
        <v>0</v>
      </c>
      <c r="BE60" s="1158">
        <f t="shared" si="149"/>
        <v>1837840000</v>
      </c>
      <c r="BF60" s="1158">
        <f t="shared" si="149"/>
        <v>1881563138</v>
      </c>
      <c r="BG60" s="1158">
        <f t="shared" si="149"/>
        <v>1417656</v>
      </c>
      <c r="BH60" s="1158">
        <f t="shared" si="149"/>
        <v>1960133480</v>
      </c>
      <c r="BI60" s="1158">
        <f t="shared" si="149"/>
        <v>1727725773</v>
      </c>
      <c r="BJ60" s="1159">
        <f t="shared" si="149"/>
        <v>0</v>
      </c>
      <c r="BK60" s="1158">
        <f t="shared" si="149"/>
        <v>0</v>
      </c>
      <c r="BL60" s="1158">
        <f t="shared" si="149"/>
        <v>0</v>
      </c>
      <c r="BM60" s="1158">
        <f t="shared" si="149"/>
        <v>0</v>
      </c>
      <c r="BN60" s="1158">
        <f t="shared" ref="BN60:CS60" si="150">SUM(BN45+BN59)</f>
        <v>0</v>
      </c>
      <c r="BO60" s="1158">
        <f t="shared" si="150"/>
        <v>0</v>
      </c>
      <c r="BP60" s="1158">
        <f t="shared" si="150"/>
        <v>0</v>
      </c>
      <c r="BQ60" s="1158">
        <f t="shared" si="150"/>
        <v>0</v>
      </c>
      <c r="BR60" s="1158">
        <f t="shared" si="150"/>
        <v>0</v>
      </c>
      <c r="BS60" s="1158">
        <f t="shared" si="150"/>
        <v>0</v>
      </c>
      <c r="BT60" s="1158">
        <f t="shared" si="150"/>
        <v>5814000</v>
      </c>
      <c r="BU60" s="1158">
        <f t="shared" si="150"/>
        <v>5814000</v>
      </c>
      <c r="BV60" s="1158">
        <f t="shared" si="150"/>
        <v>-1083334</v>
      </c>
      <c r="BW60" s="1158">
        <f t="shared" si="150"/>
        <v>21903666</v>
      </c>
      <c r="BX60" s="1158">
        <f t="shared" si="150"/>
        <v>13056377</v>
      </c>
      <c r="BY60" s="1158">
        <f t="shared" si="150"/>
        <v>0</v>
      </c>
      <c r="BZ60" s="1158">
        <f t="shared" si="150"/>
        <v>0</v>
      </c>
      <c r="CA60" s="1158">
        <f t="shared" si="150"/>
        <v>0</v>
      </c>
      <c r="CB60" s="1158">
        <f t="shared" si="150"/>
        <v>0</v>
      </c>
      <c r="CC60" s="1158">
        <f t="shared" si="150"/>
        <v>0</v>
      </c>
      <c r="CD60" s="1158">
        <f t="shared" si="150"/>
        <v>0</v>
      </c>
      <c r="CE60" s="1158">
        <f t="shared" si="150"/>
        <v>0</v>
      </c>
      <c r="CF60" s="1158">
        <f t="shared" si="150"/>
        <v>0</v>
      </c>
      <c r="CG60" s="1158">
        <f t="shared" si="150"/>
        <v>0</v>
      </c>
      <c r="CH60" s="1158">
        <f t="shared" si="150"/>
        <v>0</v>
      </c>
      <c r="CI60" s="1158">
        <f t="shared" si="150"/>
        <v>0</v>
      </c>
      <c r="CJ60" s="1158">
        <f t="shared" si="150"/>
        <v>0</v>
      </c>
      <c r="CK60" s="1158">
        <f t="shared" si="150"/>
        <v>0</v>
      </c>
      <c r="CL60" s="1158">
        <f t="shared" si="150"/>
        <v>0</v>
      </c>
      <c r="CM60" s="1158">
        <f t="shared" si="150"/>
        <v>0</v>
      </c>
      <c r="CN60" s="1158">
        <f t="shared" si="150"/>
        <v>0</v>
      </c>
      <c r="CO60" s="1158">
        <f t="shared" si="150"/>
        <v>0</v>
      </c>
      <c r="CP60" s="1158">
        <f t="shared" si="150"/>
        <v>0</v>
      </c>
      <c r="CQ60" s="1158">
        <f t="shared" si="150"/>
        <v>0</v>
      </c>
      <c r="CR60" s="1158">
        <f t="shared" si="150"/>
        <v>0</v>
      </c>
      <c r="CS60" s="1158">
        <f t="shared" si="150"/>
        <v>0</v>
      </c>
      <c r="CT60" s="1158">
        <f>SUM(CT45+CT59)</f>
        <v>0</v>
      </c>
      <c r="CU60" s="1158">
        <f>SUM(CU45+CU59)</f>
        <v>0</v>
      </c>
      <c r="CV60" s="1158">
        <f>SUM(CV45+CV59)</f>
        <v>0</v>
      </c>
      <c r="CW60" s="1158">
        <f>SUM(CW45+CW59)</f>
        <v>0</v>
      </c>
      <c r="CX60" s="1158"/>
      <c r="CY60" s="1158"/>
      <c r="CZ60" s="1158"/>
      <c r="DA60" s="1158">
        <f>SUM(DA45+DA59)</f>
        <v>4000000</v>
      </c>
      <c r="DB60" s="1158"/>
      <c r="DC60" s="1158">
        <f t="shared" ref="DC60:DQ60" si="151">SUM(DC45+DC59)</f>
        <v>5814000</v>
      </c>
      <c r="DD60" s="1158">
        <f t="shared" si="151"/>
        <v>5814000</v>
      </c>
      <c r="DE60" s="1158">
        <f t="shared" si="151"/>
        <v>-1083334</v>
      </c>
      <c r="DF60" s="1158">
        <f t="shared" si="151"/>
        <v>25903666</v>
      </c>
      <c r="DG60" s="1158">
        <f t="shared" si="151"/>
        <v>13056377</v>
      </c>
      <c r="DH60" s="1158">
        <f t="shared" si="151"/>
        <v>46868000</v>
      </c>
      <c r="DI60" s="1158">
        <f t="shared" si="151"/>
        <v>85517000</v>
      </c>
      <c r="DJ60" s="1158">
        <f t="shared" si="151"/>
        <v>1125000</v>
      </c>
      <c r="DK60" s="1158">
        <f t="shared" si="151"/>
        <v>77982537</v>
      </c>
      <c r="DL60" s="1158">
        <f t="shared" si="151"/>
        <v>43106016</v>
      </c>
      <c r="DM60" s="1158">
        <f t="shared" si="151"/>
        <v>1890522000</v>
      </c>
      <c r="DN60" s="1158">
        <f t="shared" si="151"/>
        <v>1972894138</v>
      </c>
      <c r="DO60" s="1158">
        <f t="shared" si="151"/>
        <v>1459322</v>
      </c>
      <c r="DP60" s="1158">
        <f t="shared" si="151"/>
        <v>2064019683</v>
      </c>
      <c r="DQ60" s="1158">
        <f t="shared" si="151"/>
        <v>1783888166</v>
      </c>
      <c r="DR60" s="392"/>
      <c r="DS60" s="392"/>
    </row>
    <row r="61" spans="1:123" ht="15" customHeight="1">
      <c r="A61" s="381" t="s">
        <v>739</v>
      </c>
      <c r="B61" s="381"/>
      <c r="C61" s="909"/>
      <c r="D61" s="1153"/>
      <c r="E61" s="909"/>
      <c r="F61" s="909"/>
      <c r="G61" s="909"/>
      <c r="H61" s="909"/>
      <c r="I61" s="1153"/>
      <c r="J61" s="909"/>
      <c r="K61" s="909"/>
      <c r="L61" s="909"/>
      <c r="M61" s="909"/>
      <c r="N61" s="1153"/>
      <c r="O61" s="909"/>
      <c r="P61" s="909"/>
      <c r="Q61" s="909"/>
      <c r="R61" s="909"/>
      <c r="S61" s="1153"/>
      <c r="T61" s="909"/>
      <c r="U61" s="909"/>
      <c r="V61" s="909"/>
      <c r="W61" s="909"/>
      <c r="X61" s="1153"/>
      <c r="Y61" s="909"/>
      <c r="Z61" s="909"/>
      <c r="AA61" s="909"/>
      <c r="AB61" s="909"/>
      <c r="AC61" s="1153"/>
      <c r="AD61" s="909"/>
      <c r="AE61" s="909"/>
      <c r="AF61" s="909"/>
      <c r="AG61" s="909"/>
      <c r="AH61" s="1153"/>
      <c r="AI61" s="909"/>
      <c r="AJ61" s="909"/>
      <c r="AK61" s="909"/>
      <c r="AL61" s="909"/>
      <c r="AM61" s="1153"/>
      <c r="AN61" s="909"/>
      <c r="AO61" s="909"/>
      <c r="AP61" s="909"/>
      <c r="AQ61" s="909"/>
      <c r="AR61" s="909"/>
      <c r="AS61" s="909"/>
      <c r="AT61" s="909"/>
      <c r="AU61" s="909"/>
      <c r="AV61" s="909"/>
      <c r="AW61" s="1153"/>
      <c r="AX61" s="909"/>
      <c r="AY61" s="909"/>
      <c r="AZ61" s="909"/>
      <c r="BA61" s="909"/>
      <c r="BB61" s="909"/>
      <c r="BC61" s="909"/>
      <c r="BD61" s="909"/>
      <c r="BE61" s="909"/>
      <c r="BF61" s="916"/>
      <c r="BG61" s="1160"/>
      <c r="BH61" s="916"/>
      <c r="BI61" s="916"/>
      <c r="BJ61" s="909"/>
      <c r="BK61" s="909"/>
      <c r="BL61" s="1153"/>
      <c r="BM61" s="909"/>
      <c r="BN61" s="909"/>
      <c r="BO61" s="909"/>
      <c r="BP61" s="909"/>
      <c r="BQ61" s="1153"/>
      <c r="BR61" s="909"/>
      <c r="BS61" s="909"/>
      <c r="BT61" s="909"/>
      <c r="BU61" s="909"/>
      <c r="BV61" s="1153"/>
      <c r="BW61" s="909"/>
      <c r="BX61" s="909"/>
      <c r="BY61" s="909"/>
      <c r="BZ61" s="909"/>
      <c r="CA61" s="1153"/>
      <c r="CB61" s="909"/>
      <c r="CC61" s="909"/>
      <c r="CD61" s="909"/>
      <c r="CE61" s="909"/>
      <c r="CF61" s="1153"/>
      <c r="CG61" s="909"/>
      <c r="CH61" s="909"/>
      <c r="CI61" s="909"/>
      <c r="CJ61" s="909"/>
      <c r="CK61" s="1153"/>
      <c r="CL61" s="909"/>
      <c r="CM61" s="909"/>
      <c r="CN61" s="909"/>
      <c r="CO61" s="909"/>
      <c r="CP61" s="1153"/>
      <c r="CQ61" s="909"/>
      <c r="CR61" s="909"/>
      <c r="CS61" s="909"/>
      <c r="CT61" s="909"/>
      <c r="CU61" s="1153"/>
      <c r="CV61" s="909"/>
      <c r="CW61" s="909"/>
      <c r="CX61" s="909"/>
      <c r="CY61" s="909"/>
      <c r="CZ61" s="909"/>
      <c r="DA61" s="909">
        <v>0</v>
      </c>
      <c r="DB61" s="909"/>
      <c r="DC61" s="916"/>
      <c r="DD61" s="916"/>
      <c r="DE61" s="1160"/>
      <c r="DF61" s="916"/>
      <c r="DG61" s="916"/>
      <c r="DH61" s="916"/>
      <c r="DI61" s="909"/>
      <c r="DJ61" s="909"/>
      <c r="DK61" s="909"/>
      <c r="DL61" s="909"/>
      <c r="DM61" s="916"/>
      <c r="DN61" s="916"/>
      <c r="DO61" s="1141"/>
      <c r="DP61" s="916"/>
      <c r="DQ61" s="1150"/>
    </row>
    <row r="62" spans="1:123" ht="15" hidden="1" customHeight="1">
      <c r="A62" s="920" t="s">
        <v>740</v>
      </c>
      <c r="B62" s="920"/>
      <c r="C62" s="1153"/>
      <c r="D62" s="1153"/>
      <c r="E62" s="909">
        <f t="shared" ref="E62:E75" si="152">SUM(C62+D62)</f>
        <v>0</v>
      </c>
      <c r="F62" s="909"/>
      <c r="G62" s="909"/>
      <c r="H62" s="1153"/>
      <c r="I62" s="1153"/>
      <c r="J62" s="909">
        <f t="shared" ref="J62:J71" si="153">SUM(H62+I62)</f>
        <v>0</v>
      </c>
      <c r="K62" s="909"/>
      <c r="L62" s="909"/>
      <c r="M62" s="1153"/>
      <c r="N62" s="1153"/>
      <c r="O62" s="909">
        <f t="shared" ref="O62:O75" si="154">SUM(M62+N62)</f>
        <v>0</v>
      </c>
      <c r="P62" s="909"/>
      <c r="Q62" s="909"/>
      <c r="R62" s="1153"/>
      <c r="S62" s="1153"/>
      <c r="T62" s="909">
        <f t="shared" ref="T62:T75" si="155">SUM(R62+S62)</f>
        <v>0</v>
      </c>
      <c r="U62" s="909"/>
      <c r="V62" s="909"/>
      <c r="W62" s="909"/>
      <c r="X62" s="1153"/>
      <c r="Y62" s="909">
        <f t="shared" ref="Y62:Y75" si="156">SUM(W62+X62)</f>
        <v>0</v>
      </c>
      <c r="Z62" s="909"/>
      <c r="AA62" s="909"/>
      <c r="AB62" s="1153"/>
      <c r="AC62" s="1153"/>
      <c r="AD62" s="909">
        <f t="shared" ref="AD62:AD75" si="157">SUM(AB62+AC62)</f>
        <v>0</v>
      </c>
      <c r="AE62" s="909"/>
      <c r="AF62" s="909"/>
      <c r="AG62" s="1153"/>
      <c r="AH62" s="1153"/>
      <c r="AI62" s="909">
        <f t="shared" ref="AI62:AI75" si="158">SUM(AG62+AH62)</f>
        <v>0</v>
      </c>
      <c r="AJ62" s="909"/>
      <c r="AK62" s="909"/>
      <c r="AL62" s="1153"/>
      <c r="AM62" s="1153"/>
      <c r="AN62" s="909">
        <f t="shared" ref="AN62:AN75" si="159">SUM(AL62+AM62)</f>
        <v>0</v>
      </c>
      <c r="AO62" s="909"/>
      <c r="AP62" s="909"/>
      <c r="AQ62" s="909"/>
      <c r="AR62" s="909"/>
      <c r="AS62" s="909">
        <f t="shared" ref="AS62:AS75" si="160">SUM(AQ62+AR62)</f>
        <v>0</v>
      </c>
      <c r="AT62" s="909"/>
      <c r="AU62" s="909"/>
      <c r="AV62" s="1153"/>
      <c r="AW62" s="1153"/>
      <c r="AX62" s="909">
        <f t="shared" ref="AX62:AX75" si="161">SUM(AV62+AW62)</f>
        <v>0</v>
      </c>
      <c r="AY62" s="909"/>
      <c r="AZ62" s="909"/>
      <c r="BA62" s="909"/>
      <c r="BB62" s="909"/>
      <c r="BC62" s="909">
        <f t="shared" ref="BC62:BC75" si="162">SUM(BA62+BB62)</f>
        <v>0</v>
      </c>
      <c r="BD62" s="909"/>
      <c r="BE62" s="909"/>
      <c r="BF62" s="1160">
        <f t="shared" ref="BF62:BF75" si="163">C62+H62+M62+R62+W62+AB62+AG62+AL62+AQ62+AV62+BA62</f>
        <v>0</v>
      </c>
      <c r="BG62" s="1160">
        <f t="shared" ref="BG62:BG75" si="164">D62+I62+N62+S62+X62+AC62+AH62+AM62+AR62+AW62+BB62</f>
        <v>0</v>
      </c>
      <c r="BH62" s="916">
        <f>SUM(BF62+BG62)</f>
        <v>0</v>
      </c>
      <c r="BI62" s="916"/>
      <c r="BJ62" s="909"/>
      <c r="BK62" s="1153"/>
      <c r="BL62" s="1153"/>
      <c r="BM62" s="909">
        <f t="shared" ref="BM62:BM75" si="165">SUM(BK62+BL62)</f>
        <v>0</v>
      </c>
      <c r="BN62" s="909"/>
      <c r="BO62" s="909"/>
      <c r="BP62" s="1153"/>
      <c r="BQ62" s="1153"/>
      <c r="BR62" s="909">
        <f t="shared" ref="BR62:BR75" si="166">SUM(BP62+BQ62)</f>
        <v>0</v>
      </c>
      <c r="BS62" s="909"/>
      <c r="BT62" s="909"/>
      <c r="BU62" s="1153"/>
      <c r="BV62" s="1153"/>
      <c r="BW62" s="909">
        <f t="shared" ref="BW62:BW75" si="167">SUM(BU62+BV62)</f>
        <v>0</v>
      </c>
      <c r="BX62" s="909"/>
      <c r="BY62" s="909"/>
      <c r="BZ62" s="1153"/>
      <c r="CA62" s="1153"/>
      <c r="CB62" s="909">
        <f t="shared" ref="CB62:CB75" si="168">SUM(BZ62+CA62)</f>
        <v>0</v>
      </c>
      <c r="CC62" s="909"/>
      <c r="CD62" s="909"/>
      <c r="CE62" s="1153"/>
      <c r="CF62" s="1153"/>
      <c r="CG62" s="909">
        <f t="shared" ref="CG62:CG75" si="169">SUM(CE62+CF62)</f>
        <v>0</v>
      </c>
      <c r="CH62" s="909"/>
      <c r="CI62" s="909"/>
      <c r="CJ62" s="1153"/>
      <c r="CK62" s="1153"/>
      <c r="CL62" s="909">
        <f t="shared" ref="CL62:CL75" si="170">SUM(CJ62+CK62)</f>
        <v>0</v>
      </c>
      <c r="CM62" s="909"/>
      <c r="CN62" s="909"/>
      <c r="CO62" s="1153"/>
      <c r="CP62" s="1153"/>
      <c r="CQ62" s="909">
        <f t="shared" ref="CQ62:CQ75" si="171">SUM(CO62+CP62)</f>
        <v>0</v>
      </c>
      <c r="CR62" s="909"/>
      <c r="CS62" s="909"/>
      <c r="CT62" s="1153"/>
      <c r="CU62" s="1153"/>
      <c r="CV62" s="909">
        <f t="shared" ref="CV62:CV75" si="172">SUM(CT62+CU62)</f>
        <v>0</v>
      </c>
      <c r="CW62" s="909"/>
      <c r="CX62" s="909"/>
      <c r="CY62" s="909"/>
      <c r="CZ62" s="909"/>
      <c r="DA62" s="909"/>
      <c r="DB62" s="909"/>
      <c r="DC62" s="916"/>
      <c r="DD62" s="1160">
        <f>BK62+BP62+BU62+CT62</f>
        <v>0</v>
      </c>
      <c r="DE62" s="1160">
        <f>BL62+BQ62+BV62+CU62</f>
        <v>0</v>
      </c>
      <c r="DF62" s="916">
        <f>SUM(DD62+DE62)</f>
        <v>0</v>
      </c>
      <c r="DG62" s="916">
        <v>0</v>
      </c>
      <c r="DH62" s="916"/>
      <c r="DI62" s="909"/>
      <c r="DJ62" s="909"/>
      <c r="DK62" s="909">
        <f t="shared" ref="DK62:DK75" si="173">SUM(DI62:DJ62)</f>
        <v>0</v>
      </c>
      <c r="DL62" s="909"/>
      <c r="DM62" s="916"/>
      <c r="DN62" s="1141">
        <f>BF62+DD62</f>
        <v>0</v>
      </c>
      <c r="DO62" s="1141">
        <f>BG62+DE62</f>
        <v>0</v>
      </c>
      <c r="DP62" s="916">
        <f>SUM(DN62:DO62)</f>
        <v>0</v>
      </c>
    </row>
    <row r="63" spans="1:123" ht="15" customHeight="1">
      <c r="A63" s="949" t="s">
        <v>741</v>
      </c>
      <c r="B63" s="949"/>
      <c r="C63" s="1153"/>
      <c r="D63" s="1153"/>
      <c r="E63" s="909">
        <f t="shared" si="152"/>
        <v>0</v>
      </c>
      <c r="F63" s="943"/>
      <c r="G63" s="909"/>
      <c r="H63" s="1153"/>
      <c r="I63" s="1153"/>
      <c r="J63" s="909">
        <f t="shared" si="153"/>
        <v>0</v>
      </c>
      <c r="K63" s="943"/>
      <c r="L63" s="909"/>
      <c r="M63" s="1153"/>
      <c r="N63" s="1153"/>
      <c r="O63" s="909">
        <f t="shared" si="154"/>
        <v>0</v>
      </c>
      <c r="P63" s="943"/>
      <c r="Q63" s="909"/>
      <c r="R63" s="1153"/>
      <c r="S63" s="1153"/>
      <c r="T63" s="909">
        <f t="shared" si="155"/>
        <v>0</v>
      </c>
      <c r="U63" s="943"/>
      <c r="V63" s="909"/>
      <c r="W63" s="909"/>
      <c r="X63" s="1153"/>
      <c r="Y63" s="909">
        <f t="shared" si="156"/>
        <v>0</v>
      </c>
      <c r="Z63" s="943"/>
      <c r="AA63" s="909"/>
      <c r="AB63" s="1153"/>
      <c r="AC63" s="1153"/>
      <c r="AD63" s="909">
        <f t="shared" si="157"/>
        <v>0</v>
      </c>
      <c r="AE63" s="943">
        <f t="shared" ref="AE63:AE75" si="174">AB63-AA63</f>
        <v>0</v>
      </c>
      <c r="AF63" s="1153"/>
      <c r="AG63" s="909"/>
      <c r="AH63" s="1153"/>
      <c r="AI63" s="909">
        <f t="shared" si="158"/>
        <v>0</v>
      </c>
      <c r="AJ63" s="943">
        <f t="shared" ref="AJ63:AJ75" si="175">AG63-AF63</f>
        <v>0</v>
      </c>
      <c r="AK63" s="909"/>
      <c r="AL63" s="1153"/>
      <c r="AM63" s="1153"/>
      <c r="AN63" s="909">
        <f t="shared" si="159"/>
        <v>0</v>
      </c>
      <c r="AO63" s="943">
        <f t="shared" ref="AO63:AO75" si="176">AL63-AK63</f>
        <v>0</v>
      </c>
      <c r="AP63" s="909"/>
      <c r="AQ63" s="909"/>
      <c r="AR63" s="909"/>
      <c r="AS63" s="909">
        <f t="shared" si="160"/>
        <v>0</v>
      </c>
      <c r="AT63" s="943">
        <f t="shared" ref="AT63:AT75" si="177">AQ63-AP63</f>
        <v>0</v>
      </c>
      <c r="AU63" s="909"/>
      <c r="AV63" s="1153"/>
      <c r="AW63" s="1153"/>
      <c r="AX63" s="909">
        <f t="shared" si="161"/>
        <v>0</v>
      </c>
      <c r="AY63" s="943">
        <f t="shared" ref="AY63:AY75" si="178">AV63-AU63</f>
        <v>0</v>
      </c>
      <c r="AZ63" s="909"/>
      <c r="BA63" s="909"/>
      <c r="BB63" s="909"/>
      <c r="BC63" s="909">
        <f t="shared" si="162"/>
        <v>0</v>
      </c>
      <c r="BD63" s="943">
        <f t="shared" ref="BD63:BD75" si="179">BA63-AZ63</f>
        <v>0</v>
      </c>
      <c r="BE63" s="1160">
        <f t="shared" ref="BE63:BE75" si="180">B63+G63+L63+Q63+V63+AA63+AF63+AK63+AP63+AU63+AZ63</f>
        <v>0</v>
      </c>
      <c r="BF63" s="1160">
        <f t="shared" si="163"/>
        <v>0</v>
      </c>
      <c r="BG63" s="1160">
        <f t="shared" si="164"/>
        <v>0</v>
      </c>
      <c r="BH63" s="916">
        <f t="shared" ref="BH63:BI75" si="181">E63+J63+O63+T63+Y63+AD63+AI63+AN63+AS63+AX63+BC63</f>
        <v>0</v>
      </c>
      <c r="BI63" s="916">
        <f t="shared" si="181"/>
        <v>0</v>
      </c>
      <c r="BJ63" s="909"/>
      <c r="BK63" s="1153"/>
      <c r="BL63" s="1153"/>
      <c r="BM63" s="909">
        <f t="shared" si="165"/>
        <v>0</v>
      </c>
      <c r="BN63" s="943"/>
      <c r="BO63" s="909"/>
      <c r="BP63" s="1153"/>
      <c r="BQ63" s="1153"/>
      <c r="BR63" s="909">
        <f t="shared" si="166"/>
        <v>0</v>
      </c>
      <c r="BS63" s="943">
        <f>BP63-BO63</f>
        <v>0</v>
      </c>
      <c r="BT63" s="909"/>
      <c r="BU63" s="1153"/>
      <c r="BV63" s="1153"/>
      <c r="BW63" s="909">
        <f t="shared" si="167"/>
        <v>0</v>
      </c>
      <c r="BX63" s="943"/>
      <c r="BY63" s="909"/>
      <c r="BZ63" s="1153"/>
      <c r="CA63" s="1153"/>
      <c r="CB63" s="909">
        <f t="shared" si="168"/>
        <v>0</v>
      </c>
      <c r="CC63" s="943"/>
      <c r="CD63" s="909"/>
      <c r="CE63" s="1153"/>
      <c r="CF63" s="1153"/>
      <c r="CG63" s="909">
        <f t="shared" si="169"/>
        <v>0</v>
      </c>
      <c r="CH63" s="943">
        <f t="shared" ref="CH63:CH75" si="182">CE63-CD63</f>
        <v>0</v>
      </c>
      <c r="CI63" s="909"/>
      <c r="CJ63" s="1153"/>
      <c r="CK63" s="1153"/>
      <c r="CL63" s="909">
        <f t="shared" si="170"/>
        <v>0</v>
      </c>
      <c r="CM63" s="943"/>
      <c r="CN63" s="909"/>
      <c r="CO63" s="1153"/>
      <c r="CP63" s="1153"/>
      <c r="CQ63" s="909">
        <f t="shared" si="171"/>
        <v>0</v>
      </c>
      <c r="CR63" s="943">
        <f t="shared" ref="CR63:CR75" si="183">CO63-CN63</f>
        <v>0</v>
      </c>
      <c r="CS63" s="909"/>
      <c r="CT63" s="1153"/>
      <c r="CU63" s="1153"/>
      <c r="CV63" s="909">
        <f t="shared" si="172"/>
        <v>0</v>
      </c>
      <c r="CW63" s="943">
        <f t="shared" ref="CW63:CW75" si="184">CT63-CS63</f>
        <v>0</v>
      </c>
      <c r="CX63" s="943"/>
      <c r="CY63" s="943"/>
      <c r="CZ63" s="943"/>
      <c r="DA63" s="943">
        <v>0</v>
      </c>
      <c r="DB63" s="943"/>
      <c r="DC63" s="1160">
        <f t="shared" ref="DC63:DC75" si="185">BJ63+BO63+BT63+BY63+CD63+CI63+CN63+CS63</f>
        <v>0</v>
      </c>
      <c r="DD63" s="1160">
        <f t="shared" ref="DD63:DD75" si="186">BK63+BP63+BU63+BZ63+CE63+CJ63+CO63+CT63</f>
        <v>0</v>
      </c>
      <c r="DE63" s="1160">
        <f t="shared" ref="DE63:DE75" si="187">BL63+BQ63+BV63+CA63+CF63+CK63+CP63+CU63</f>
        <v>0</v>
      </c>
      <c r="DF63" s="916">
        <f t="shared" ref="DF63:DG75" si="188">BM63+BR63+BW63+CB63+CG63+CL63+CQ63+CV63</f>
        <v>0</v>
      </c>
      <c r="DG63" s="916">
        <v>0</v>
      </c>
      <c r="DH63" s="916"/>
      <c r="DI63" s="909"/>
      <c r="DJ63" s="909"/>
      <c r="DK63" s="909">
        <f t="shared" si="173"/>
        <v>0</v>
      </c>
      <c r="DL63" s="943"/>
      <c r="DM63" s="1141">
        <f t="shared" ref="DM63:DM75" si="189">BE63+DC63+DH63</f>
        <v>0</v>
      </c>
      <c r="DN63" s="1141">
        <f t="shared" ref="DN63:DN75" si="190">BF63+DD63+DI63</f>
        <v>0</v>
      </c>
      <c r="DO63" s="1141">
        <f t="shared" ref="DO63:DO75" si="191">BG63+DE63+DJ63</f>
        <v>0</v>
      </c>
      <c r="DP63" s="916">
        <f t="shared" ref="DP63:DQ75" si="192">BH63+DF63+DK63</f>
        <v>0</v>
      </c>
      <c r="DQ63" s="916">
        <f t="shared" si="192"/>
        <v>0</v>
      </c>
    </row>
    <row r="64" spans="1:123" ht="15" customHeight="1">
      <c r="A64" s="949" t="s">
        <v>742</v>
      </c>
      <c r="B64" s="949"/>
      <c r="C64" s="1153"/>
      <c r="D64" s="1153"/>
      <c r="E64" s="909">
        <f t="shared" si="152"/>
        <v>0</v>
      </c>
      <c r="F64" s="943"/>
      <c r="G64" s="909"/>
      <c r="H64" s="1153"/>
      <c r="I64" s="1153"/>
      <c r="J64" s="909">
        <f t="shared" si="153"/>
        <v>0</v>
      </c>
      <c r="K64" s="943"/>
      <c r="L64" s="909"/>
      <c r="M64" s="1153"/>
      <c r="N64" s="1153"/>
      <c r="O64" s="909">
        <f t="shared" si="154"/>
        <v>0</v>
      </c>
      <c r="P64" s="943"/>
      <c r="Q64" s="909"/>
      <c r="R64" s="1153"/>
      <c r="S64" s="1153"/>
      <c r="T64" s="909">
        <f t="shared" si="155"/>
        <v>0</v>
      </c>
      <c r="U64" s="943"/>
      <c r="V64" s="909"/>
      <c r="W64" s="909"/>
      <c r="X64" s="1153"/>
      <c r="Y64" s="909">
        <f t="shared" si="156"/>
        <v>0</v>
      </c>
      <c r="Z64" s="943"/>
      <c r="AA64" s="909"/>
      <c r="AB64" s="1153"/>
      <c r="AC64" s="1153"/>
      <c r="AD64" s="909">
        <f t="shared" si="157"/>
        <v>0</v>
      </c>
      <c r="AE64" s="943">
        <f t="shared" si="174"/>
        <v>0</v>
      </c>
      <c r="AF64" s="909"/>
      <c r="AG64" s="1153"/>
      <c r="AH64" s="1153"/>
      <c r="AI64" s="909">
        <f t="shared" si="158"/>
        <v>0</v>
      </c>
      <c r="AJ64" s="943">
        <f t="shared" si="175"/>
        <v>0</v>
      </c>
      <c r="AK64" s="909"/>
      <c r="AL64" s="1153"/>
      <c r="AM64" s="1153"/>
      <c r="AN64" s="909">
        <f t="shared" si="159"/>
        <v>0</v>
      </c>
      <c r="AO64" s="943">
        <f t="shared" si="176"/>
        <v>0</v>
      </c>
      <c r="AP64" s="909"/>
      <c r="AQ64" s="909"/>
      <c r="AR64" s="909"/>
      <c r="AS64" s="909">
        <f t="shared" si="160"/>
        <v>0</v>
      </c>
      <c r="AT64" s="943">
        <f t="shared" si="177"/>
        <v>0</v>
      </c>
      <c r="AU64" s="909"/>
      <c r="AV64" s="1153"/>
      <c r="AW64" s="1153"/>
      <c r="AX64" s="909">
        <f t="shared" si="161"/>
        <v>0</v>
      </c>
      <c r="AY64" s="943">
        <f t="shared" si="178"/>
        <v>0</v>
      </c>
      <c r="AZ64" s="909"/>
      <c r="BA64" s="909"/>
      <c r="BB64" s="909"/>
      <c r="BC64" s="909">
        <f t="shared" si="162"/>
        <v>0</v>
      </c>
      <c r="BD64" s="943">
        <f t="shared" si="179"/>
        <v>0</v>
      </c>
      <c r="BE64" s="1160">
        <f t="shared" si="180"/>
        <v>0</v>
      </c>
      <c r="BF64" s="1160">
        <f t="shared" si="163"/>
        <v>0</v>
      </c>
      <c r="BG64" s="1160">
        <f t="shared" si="164"/>
        <v>0</v>
      </c>
      <c r="BH64" s="916">
        <f t="shared" si="181"/>
        <v>0</v>
      </c>
      <c r="BI64" s="916">
        <f t="shared" si="181"/>
        <v>0</v>
      </c>
      <c r="BJ64" s="909"/>
      <c r="BK64" s="1153"/>
      <c r="BL64" s="1153"/>
      <c r="BM64" s="909">
        <f t="shared" si="165"/>
        <v>0</v>
      </c>
      <c r="BN64" s="943"/>
      <c r="BO64" s="909"/>
      <c r="BP64" s="1153"/>
      <c r="BQ64" s="1153"/>
      <c r="BR64" s="909">
        <f t="shared" si="166"/>
        <v>0</v>
      </c>
      <c r="BS64" s="943">
        <f>BP64-BO64</f>
        <v>0</v>
      </c>
      <c r="BT64" s="909"/>
      <c r="BU64" s="1153"/>
      <c r="BV64" s="1153"/>
      <c r="BW64" s="909">
        <f t="shared" si="167"/>
        <v>0</v>
      </c>
      <c r="BX64" s="943"/>
      <c r="BY64" s="909"/>
      <c r="BZ64" s="1153"/>
      <c r="CA64" s="1153"/>
      <c r="CB64" s="909">
        <f t="shared" si="168"/>
        <v>0</v>
      </c>
      <c r="CC64" s="943"/>
      <c r="CD64" s="909"/>
      <c r="CE64" s="1153"/>
      <c r="CF64" s="1153"/>
      <c r="CG64" s="909">
        <f t="shared" si="169"/>
        <v>0</v>
      </c>
      <c r="CH64" s="943">
        <f t="shared" si="182"/>
        <v>0</v>
      </c>
      <c r="CI64" s="909"/>
      <c r="CJ64" s="1153"/>
      <c r="CK64" s="1153"/>
      <c r="CL64" s="909">
        <f t="shared" si="170"/>
        <v>0</v>
      </c>
      <c r="CM64" s="943"/>
      <c r="CN64" s="909"/>
      <c r="CO64" s="1153"/>
      <c r="CP64" s="1153"/>
      <c r="CQ64" s="909">
        <f t="shared" si="171"/>
        <v>0</v>
      </c>
      <c r="CR64" s="943">
        <f t="shared" si="183"/>
        <v>0</v>
      </c>
      <c r="CS64" s="909"/>
      <c r="CT64" s="1153"/>
      <c r="CU64" s="1153"/>
      <c r="CV64" s="909">
        <f t="shared" si="172"/>
        <v>0</v>
      </c>
      <c r="CW64" s="943">
        <f t="shared" si="184"/>
        <v>0</v>
      </c>
      <c r="CX64" s="943"/>
      <c r="CY64" s="943"/>
      <c r="CZ64" s="943"/>
      <c r="DA64" s="943">
        <v>0</v>
      </c>
      <c r="DB64" s="943"/>
      <c r="DC64" s="1160">
        <f t="shared" si="185"/>
        <v>0</v>
      </c>
      <c r="DD64" s="1160">
        <f t="shared" si="186"/>
        <v>0</v>
      </c>
      <c r="DE64" s="1160">
        <f t="shared" si="187"/>
        <v>0</v>
      </c>
      <c r="DF64" s="916">
        <f t="shared" si="188"/>
        <v>0</v>
      </c>
      <c r="DG64" s="916">
        <v>0</v>
      </c>
      <c r="DH64" s="916"/>
      <c r="DI64" s="909"/>
      <c r="DJ64" s="909"/>
      <c r="DK64" s="909">
        <f t="shared" si="173"/>
        <v>0</v>
      </c>
      <c r="DL64" s="943"/>
      <c r="DM64" s="1141">
        <f t="shared" si="189"/>
        <v>0</v>
      </c>
      <c r="DN64" s="1141">
        <f t="shared" si="190"/>
        <v>0</v>
      </c>
      <c r="DO64" s="1141">
        <f t="shared" si="191"/>
        <v>0</v>
      </c>
      <c r="DP64" s="916">
        <f t="shared" si="192"/>
        <v>0</v>
      </c>
      <c r="DQ64" s="916">
        <f t="shared" si="192"/>
        <v>0</v>
      </c>
    </row>
    <row r="65" spans="1:126" ht="15" customHeight="1">
      <c r="A65" s="380" t="s">
        <v>743</v>
      </c>
      <c r="B65" s="380"/>
      <c r="C65" s="1153"/>
      <c r="D65" s="1153"/>
      <c r="E65" s="909">
        <f t="shared" si="152"/>
        <v>0</v>
      </c>
      <c r="F65" s="943"/>
      <c r="G65" s="909"/>
      <c r="H65" s="1153"/>
      <c r="I65" s="1153"/>
      <c r="J65" s="909">
        <f t="shared" si="153"/>
        <v>0</v>
      </c>
      <c r="K65" s="943"/>
      <c r="L65" s="909"/>
      <c r="M65" s="1153"/>
      <c r="N65" s="1153"/>
      <c r="O65" s="909">
        <f t="shared" si="154"/>
        <v>0</v>
      </c>
      <c r="P65" s="943"/>
      <c r="Q65" s="909"/>
      <c r="R65" s="1153"/>
      <c r="S65" s="1153"/>
      <c r="T65" s="909">
        <f t="shared" si="155"/>
        <v>0</v>
      </c>
      <c r="U65" s="943"/>
      <c r="V65" s="909"/>
      <c r="W65" s="909"/>
      <c r="X65" s="1153"/>
      <c r="Y65" s="909">
        <f t="shared" si="156"/>
        <v>0</v>
      </c>
      <c r="Z65" s="943"/>
      <c r="AA65" s="909"/>
      <c r="AB65" s="1153"/>
      <c r="AC65" s="1153"/>
      <c r="AD65" s="909">
        <f t="shared" si="157"/>
        <v>0</v>
      </c>
      <c r="AE65" s="943">
        <f t="shared" si="174"/>
        <v>0</v>
      </c>
      <c r="AF65" s="909"/>
      <c r="AG65" s="1153"/>
      <c r="AH65" s="1153"/>
      <c r="AI65" s="909">
        <f t="shared" si="158"/>
        <v>0</v>
      </c>
      <c r="AJ65" s="943">
        <f t="shared" si="175"/>
        <v>0</v>
      </c>
      <c r="AK65" s="909"/>
      <c r="AL65" s="1153"/>
      <c r="AM65" s="1153"/>
      <c r="AN65" s="909">
        <f t="shared" si="159"/>
        <v>0</v>
      </c>
      <c r="AO65" s="943">
        <f t="shared" si="176"/>
        <v>0</v>
      </c>
      <c r="AP65" s="909"/>
      <c r="AQ65" s="909"/>
      <c r="AR65" s="909"/>
      <c r="AS65" s="909">
        <f t="shared" si="160"/>
        <v>0</v>
      </c>
      <c r="AT65" s="943">
        <f t="shared" si="177"/>
        <v>0</v>
      </c>
      <c r="AU65" s="909"/>
      <c r="AV65" s="1153"/>
      <c r="AW65" s="1153"/>
      <c r="AX65" s="909">
        <f t="shared" si="161"/>
        <v>0</v>
      </c>
      <c r="AY65" s="943">
        <f t="shared" si="178"/>
        <v>0</v>
      </c>
      <c r="AZ65" s="909"/>
      <c r="BA65" s="909"/>
      <c r="BB65" s="909"/>
      <c r="BC65" s="909">
        <f t="shared" si="162"/>
        <v>0</v>
      </c>
      <c r="BD65" s="943">
        <f t="shared" si="179"/>
        <v>0</v>
      </c>
      <c r="BE65" s="1160">
        <f t="shared" si="180"/>
        <v>0</v>
      </c>
      <c r="BF65" s="1160">
        <f t="shared" si="163"/>
        <v>0</v>
      </c>
      <c r="BG65" s="1160">
        <f t="shared" si="164"/>
        <v>0</v>
      </c>
      <c r="BH65" s="916">
        <f t="shared" si="181"/>
        <v>0</v>
      </c>
      <c r="BI65" s="916">
        <f t="shared" si="181"/>
        <v>0</v>
      </c>
      <c r="BJ65" s="909"/>
      <c r="BK65" s="1153"/>
      <c r="BL65" s="1153"/>
      <c r="BM65" s="909">
        <f t="shared" si="165"/>
        <v>0</v>
      </c>
      <c r="BN65" s="943"/>
      <c r="BO65" s="909"/>
      <c r="BP65" s="1153"/>
      <c r="BQ65" s="1153"/>
      <c r="BR65" s="909">
        <f t="shared" si="166"/>
        <v>0</v>
      </c>
      <c r="BS65" s="943">
        <f>BP65-BO65</f>
        <v>0</v>
      </c>
      <c r="BT65" s="909"/>
      <c r="BU65" s="1153"/>
      <c r="BV65" s="1153"/>
      <c r="BW65" s="909">
        <f t="shared" si="167"/>
        <v>0</v>
      </c>
      <c r="BX65" s="943"/>
      <c r="BY65" s="909"/>
      <c r="BZ65" s="1153"/>
      <c r="CA65" s="1153"/>
      <c r="CB65" s="909">
        <f t="shared" si="168"/>
        <v>0</v>
      </c>
      <c r="CC65" s="943"/>
      <c r="CD65" s="909"/>
      <c r="CE65" s="1153"/>
      <c r="CF65" s="1153"/>
      <c r="CG65" s="909">
        <f t="shared" si="169"/>
        <v>0</v>
      </c>
      <c r="CH65" s="943">
        <f t="shared" si="182"/>
        <v>0</v>
      </c>
      <c r="CI65" s="909"/>
      <c r="CJ65" s="1153"/>
      <c r="CK65" s="1153"/>
      <c r="CL65" s="909">
        <f t="shared" si="170"/>
        <v>0</v>
      </c>
      <c r="CM65" s="943"/>
      <c r="CN65" s="909"/>
      <c r="CO65" s="1153"/>
      <c r="CP65" s="1153"/>
      <c r="CQ65" s="909">
        <f t="shared" si="171"/>
        <v>0</v>
      </c>
      <c r="CR65" s="943">
        <f t="shared" si="183"/>
        <v>0</v>
      </c>
      <c r="CS65" s="909"/>
      <c r="CT65" s="1153"/>
      <c r="CU65" s="1153"/>
      <c r="CV65" s="909">
        <f t="shared" si="172"/>
        <v>0</v>
      </c>
      <c r="CW65" s="943">
        <f t="shared" si="184"/>
        <v>0</v>
      </c>
      <c r="CX65" s="943"/>
      <c r="CY65" s="943"/>
      <c r="CZ65" s="943"/>
      <c r="DA65" s="943">
        <v>0</v>
      </c>
      <c r="DB65" s="943"/>
      <c r="DC65" s="1160">
        <f t="shared" si="185"/>
        <v>0</v>
      </c>
      <c r="DD65" s="1160">
        <f t="shared" si="186"/>
        <v>0</v>
      </c>
      <c r="DE65" s="1160">
        <f t="shared" si="187"/>
        <v>0</v>
      </c>
      <c r="DF65" s="916">
        <f t="shared" si="188"/>
        <v>0</v>
      </c>
      <c r="DG65" s="916">
        <v>0</v>
      </c>
      <c r="DH65" s="916"/>
      <c r="DI65" s="909"/>
      <c r="DJ65" s="909"/>
      <c r="DK65" s="909">
        <f t="shared" si="173"/>
        <v>0</v>
      </c>
      <c r="DL65" s="943"/>
      <c r="DM65" s="1141">
        <f t="shared" si="189"/>
        <v>0</v>
      </c>
      <c r="DN65" s="1141">
        <f t="shared" si="190"/>
        <v>0</v>
      </c>
      <c r="DO65" s="1141">
        <f t="shared" si="191"/>
        <v>0</v>
      </c>
      <c r="DP65" s="916">
        <f t="shared" si="192"/>
        <v>0</v>
      </c>
      <c r="DQ65" s="916">
        <f t="shared" si="192"/>
        <v>0</v>
      </c>
    </row>
    <row r="66" spans="1:126" ht="15" customHeight="1">
      <c r="A66" s="634" t="s">
        <v>744</v>
      </c>
      <c r="C66" s="1153"/>
      <c r="D66" s="1153"/>
      <c r="E66" s="909">
        <f t="shared" si="152"/>
        <v>0</v>
      </c>
      <c r="F66" s="943"/>
      <c r="G66" s="909"/>
      <c r="H66" s="1153"/>
      <c r="I66" s="1153"/>
      <c r="J66" s="909">
        <f t="shared" si="153"/>
        <v>0</v>
      </c>
      <c r="K66" s="943"/>
      <c r="L66" s="909"/>
      <c r="M66" s="1153"/>
      <c r="N66" s="1153"/>
      <c r="O66" s="909">
        <f t="shared" si="154"/>
        <v>0</v>
      </c>
      <c r="P66" s="943"/>
      <c r="Q66" s="909"/>
      <c r="R66" s="1153"/>
      <c r="S66" s="1153"/>
      <c r="T66" s="909">
        <f t="shared" si="155"/>
        <v>0</v>
      </c>
      <c r="U66" s="943"/>
      <c r="V66" s="909"/>
      <c r="W66" s="909"/>
      <c r="X66" s="1153"/>
      <c r="Y66" s="909">
        <f t="shared" si="156"/>
        <v>0</v>
      </c>
      <c r="Z66" s="943"/>
      <c r="AA66" s="909"/>
      <c r="AB66" s="1153"/>
      <c r="AC66" s="1153"/>
      <c r="AD66" s="909">
        <f t="shared" si="157"/>
        <v>0</v>
      </c>
      <c r="AE66" s="943">
        <f t="shared" si="174"/>
        <v>0</v>
      </c>
      <c r="AF66" s="909"/>
      <c r="AG66" s="1153"/>
      <c r="AH66" s="1153"/>
      <c r="AI66" s="909">
        <f t="shared" si="158"/>
        <v>0</v>
      </c>
      <c r="AJ66" s="943">
        <f t="shared" si="175"/>
        <v>0</v>
      </c>
      <c r="AK66" s="909"/>
      <c r="AL66" s="1153"/>
      <c r="AM66" s="1153"/>
      <c r="AN66" s="909">
        <f t="shared" si="159"/>
        <v>0</v>
      </c>
      <c r="AO66" s="943">
        <f t="shared" si="176"/>
        <v>0</v>
      </c>
      <c r="AP66" s="909"/>
      <c r="AQ66" s="909"/>
      <c r="AR66" s="909"/>
      <c r="AS66" s="909">
        <f t="shared" si="160"/>
        <v>0</v>
      </c>
      <c r="AT66" s="943">
        <f t="shared" si="177"/>
        <v>0</v>
      </c>
      <c r="AU66" s="909"/>
      <c r="AV66" s="1153"/>
      <c r="AW66" s="1153"/>
      <c r="AX66" s="909">
        <f t="shared" si="161"/>
        <v>0</v>
      </c>
      <c r="AY66" s="943">
        <f t="shared" si="178"/>
        <v>0</v>
      </c>
      <c r="AZ66" s="909"/>
      <c r="BA66" s="909"/>
      <c r="BB66" s="909"/>
      <c r="BC66" s="909">
        <f t="shared" si="162"/>
        <v>0</v>
      </c>
      <c r="BD66" s="943">
        <f t="shared" si="179"/>
        <v>0</v>
      </c>
      <c r="BE66" s="1160">
        <f t="shared" si="180"/>
        <v>0</v>
      </c>
      <c r="BF66" s="1160">
        <f t="shared" si="163"/>
        <v>0</v>
      </c>
      <c r="BG66" s="1160">
        <f t="shared" si="164"/>
        <v>0</v>
      </c>
      <c r="BH66" s="916">
        <f t="shared" si="181"/>
        <v>0</v>
      </c>
      <c r="BI66" s="916">
        <f t="shared" si="181"/>
        <v>0</v>
      </c>
      <c r="BJ66" s="909"/>
      <c r="BK66" s="1153"/>
      <c r="BL66" s="1153"/>
      <c r="BM66" s="909">
        <f t="shared" si="165"/>
        <v>0</v>
      </c>
      <c r="BN66" s="943"/>
      <c r="BO66" s="909"/>
      <c r="BP66" s="1153"/>
      <c r="BQ66" s="1153"/>
      <c r="BR66" s="909">
        <f t="shared" si="166"/>
        <v>0</v>
      </c>
      <c r="BS66" s="943">
        <f>BP66-BO66</f>
        <v>0</v>
      </c>
      <c r="BT66" s="909"/>
      <c r="BU66" s="1153"/>
      <c r="BV66" s="1153"/>
      <c r="BW66" s="909">
        <f t="shared" si="167"/>
        <v>0</v>
      </c>
      <c r="BX66" s="943"/>
      <c r="BY66" s="909"/>
      <c r="BZ66" s="1153"/>
      <c r="CA66" s="1153"/>
      <c r="CB66" s="909">
        <f t="shared" si="168"/>
        <v>0</v>
      </c>
      <c r="CC66" s="943"/>
      <c r="CD66" s="909"/>
      <c r="CE66" s="1153"/>
      <c r="CF66" s="1153"/>
      <c r="CG66" s="909">
        <f t="shared" si="169"/>
        <v>0</v>
      </c>
      <c r="CH66" s="943">
        <f t="shared" si="182"/>
        <v>0</v>
      </c>
      <c r="CI66" s="909"/>
      <c r="CJ66" s="1153"/>
      <c r="CK66" s="1153"/>
      <c r="CL66" s="909">
        <f t="shared" si="170"/>
        <v>0</v>
      </c>
      <c r="CM66" s="943"/>
      <c r="CN66" s="909"/>
      <c r="CO66" s="1153"/>
      <c r="CP66" s="1153"/>
      <c r="CQ66" s="909">
        <f t="shared" si="171"/>
        <v>0</v>
      </c>
      <c r="CR66" s="943">
        <f t="shared" si="183"/>
        <v>0</v>
      </c>
      <c r="CS66" s="909"/>
      <c r="CT66" s="1153"/>
      <c r="CU66" s="1153"/>
      <c r="CV66" s="909">
        <f t="shared" si="172"/>
        <v>0</v>
      </c>
      <c r="CW66" s="943">
        <f t="shared" si="184"/>
        <v>0</v>
      </c>
      <c r="CX66" s="943"/>
      <c r="CY66" s="943"/>
      <c r="CZ66" s="943"/>
      <c r="DA66" s="943">
        <v>0</v>
      </c>
      <c r="DB66" s="943"/>
      <c r="DC66" s="1160">
        <f t="shared" si="185"/>
        <v>0</v>
      </c>
      <c r="DD66" s="1160">
        <f t="shared" si="186"/>
        <v>0</v>
      </c>
      <c r="DE66" s="1160">
        <f t="shared" si="187"/>
        <v>0</v>
      </c>
      <c r="DF66" s="916">
        <f t="shared" si="188"/>
        <v>0</v>
      </c>
      <c r="DG66" s="916">
        <v>0</v>
      </c>
      <c r="DH66" s="916"/>
      <c r="DI66" s="909"/>
      <c r="DJ66" s="909"/>
      <c r="DK66" s="909">
        <f t="shared" si="173"/>
        <v>0</v>
      </c>
      <c r="DL66" s="943"/>
      <c r="DM66" s="1141">
        <f t="shared" si="189"/>
        <v>0</v>
      </c>
      <c r="DN66" s="1141">
        <f t="shared" si="190"/>
        <v>0</v>
      </c>
      <c r="DO66" s="1141">
        <f t="shared" si="191"/>
        <v>0</v>
      </c>
      <c r="DP66" s="916">
        <f t="shared" si="192"/>
        <v>0</v>
      </c>
      <c r="DQ66" s="916">
        <f t="shared" si="192"/>
        <v>0</v>
      </c>
    </row>
    <row r="67" spans="1:126" ht="15" customHeight="1">
      <c r="A67" s="920" t="s">
        <v>745</v>
      </c>
      <c r="B67" s="920"/>
      <c r="C67" s="1153"/>
      <c r="D67" s="1153"/>
      <c r="E67" s="909">
        <f t="shared" si="152"/>
        <v>0</v>
      </c>
      <c r="F67" s="943"/>
      <c r="G67" s="909"/>
      <c r="H67" s="1153"/>
      <c r="I67" s="1153"/>
      <c r="J67" s="909">
        <f t="shared" si="153"/>
        <v>0</v>
      </c>
      <c r="K67" s="943"/>
      <c r="L67" s="909"/>
      <c r="M67" s="1153"/>
      <c r="N67" s="1153"/>
      <c r="O67" s="909">
        <f t="shared" si="154"/>
        <v>0</v>
      </c>
      <c r="P67" s="943"/>
      <c r="Q67" s="909"/>
      <c r="R67" s="1153"/>
      <c r="S67" s="1153"/>
      <c r="T67" s="909">
        <f t="shared" si="155"/>
        <v>0</v>
      </c>
      <c r="U67" s="943"/>
      <c r="V67" s="909"/>
      <c r="W67" s="909"/>
      <c r="X67" s="1153"/>
      <c r="Y67" s="909">
        <f t="shared" si="156"/>
        <v>0</v>
      </c>
      <c r="Z67" s="943"/>
      <c r="AA67" s="909"/>
      <c r="AB67" s="1153"/>
      <c r="AC67" s="1153"/>
      <c r="AD67" s="909">
        <f t="shared" si="157"/>
        <v>0</v>
      </c>
      <c r="AE67" s="943">
        <f t="shared" si="174"/>
        <v>0</v>
      </c>
      <c r="AF67" s="909"/>
      <c r="AG67" s="1153">
        <v>0</v>
      </c>
      <c r="AH67" s="1153"/>
      <c r="AI67" s="909">
        <f t="shared" si="158"/>
        <v>0</v>
      </c>
      <c r="AJ67" s="943">
        <f t="shared" si="175"/>
        <v>0</v>
      </c>
      <c r="AK67" s="909"/>
      <c r="AL67" s="1153"/>
      <c r="AM67" s="1153"/>
      <c r="AN67" s="909">
        <f t="shared" si="159"/>
        <v>0</v>
      </c>
      <c r="AO67" s="943">
        <f t="shared" si="176"/>
        <v>0</v>
      </c>
      <c r="AP67" s="909"/>
      <c r="AQ67" s="909"/>
      <c r="AR67" s="909"/>
      <c r="AS67" s="909">
        <f t="shared" si="160"/>
        <v>0</v>
      </c>
      <c r="AT67" s="943">
        <f t="shared" si="177"/>
        <v>0</v>
      </c>
      <c r="AU67" s="909"/>
      <c r="AV67" s="1153"/>
      <c r="AW67" s="1153"/>
      <c r="AX67" s="909">
        <f t="shared" si="161"/>
        <v>0</v>
      </c>
      <c r="AY67" s="943">
        <f t="shared" si="178"/>
        <v>0</v>
      </c>
      <c r="AZ67" s="909"/>
      <c r="BA67" s="909"/>
      <c r="BB67" s="909"/>
      <c r="BC67" s="909">
        <f t="shared" si="162"/>
        <v>0</v>
      </c>
      <c r="BD67" s="943">
        <f t="shared" si="179"/>
        <v>0</v>
      </c>
      <c r="BE67" s="1160">
        <f t="shared" si="180"/>
        <v>0</v>
      </c>
      <c r="BF67" s="1160">
        <f t="shared" si="163"/>
        <v>0</v>
      </c>
      <c r="BG67" s="1160">
        <f t="shared" si="164"/>
        <v>0</v>
      </c>
      <c r="BH67" s="916">
        <f t="shared" si="181"/>
        <v>0</v>
      </c>
      <c r="BI67" s="916">
        <f t="shared" si="181"/>
        <v>0</v>
      </c>
      <c r="BJ67" s="909"/>
      <c r="BK67" s="1153"/>
      <c r="BL67" s="1153"/>
      <c r="BM67" s="909">
        <f t="shared" si="165"/>
        <v>0</v>
      </c>
      <c r="BN67" s="943"/>
      <c r="BO67" s="909"/>
      <c r="BP67" s="1153"/>
      <c r="BQ67" s="1153">
        <v>5671681</v>
      </c>
      <c r="BR67" s="909">
        <f t="shared" si="166"/>
        <v>5671681</v>
      </c>
      <c r="BS67" s="943">
        <v>5671681</v>
      </c>
      <c r="BT67" s="909">
        <v>62335000</v>
      </c>
      <c r="BU67" s="1153">
        <v>62335000</v>
      </c>
      <c r="BV67" s="1153">
        <v>-1083334</v>
      </c>
      <c r="BW67" s="909">
        <f t="shared" si="167"/>
        <v>61251666</v>
      </c>
      <c r="BX67" s="943">
        <v>61251666</v>
      </c>
      <c r="BY67" s="909"/>
      <c r="BZ67" s="1153"/>
      <c r="CA67" s="1153"/>
      <c r="CB67" s="909">
        <f t="shared" si="168"/>
        <v>0</v>
      </c>
      <c r="CC67" s="943"/>
      <c r="CD67" s="909"/>
      <c r="CE67" s="1153"/>
      <c r="CF67" s="1153"/>
      <c r="CG67" s="909">
        <f t="shared" si="169"/>
        <v>0</v>
      </c>
      <c r="CH67" s="943">
        <f t="shared" si="182"/>
        <v>0</v>
      </c>
      <c r="CI67" s="909"/>
      <c r="CJ67" s="1153"/>
      <c r="CK67" s="1153"/>
      <c r="CL67" s="909">
        <f t="shared" si="170"/>
        <v>0</v>
      </c>
      <c r="CM67" s="943"/>
      <c r="CN67" s="909"/>
      <c r="CO67" s="1153"/>
      <c r="CP67" s="1153"/>
      <c r="CQ67" s="909">
        <f t="shared" si="171"/>
        <v>0</v>
      </c>
      <c r="CR67" s="943">
        <f t="shared" si="183"/>
        <v>0</v>
      </c>
      <c r="CS67" s="909"/>
      <c r="CT67" s="1153"/>
      <c r="CU67" s="1153"/>
      <c r="CV67" s="909">
        <f t="shared" si="172"/>
        <v>0</v>
      </c>
      <c r="CW67" s="943">
        <f t="shared" si="184"/>
        <v>0</v>
      </c>
      <c r="CX67" s="943"/>
      <c r="CY67" s="943"/>
      <c r="CZ67" s="943"/>
      <c r="DA67" s="943">
        <v>0</v>
      </c>
      <c r="DB67" s="943"/>
      <c r="DC67" s="1160">
        <f t="shared" si="185"/>
        <v>62335000</v>
      </c>
      <c r="DD67" s="1160">
        <f t="shared" si="186"/>
        <v>62335000</v>
      </c>
      <c r="DE67" s="1160">
        <f t="shared" si="187"/>
        <v>4588347</v>
      </c>
      <c r="DF67" s="916">
        <f t="shared" si="188"/>
        <v>66923347</v>
      </c>
      <c r="DG67" s="916">
        <f t="shared" si="188"/>
        <v>66923347</v>
      </c>
      <c r="DH67" s="916"/>
      <c r="DI67" s="909"/>
      <c r="DJ67" s="909"/>
      <c r="DK67" s="909">
        <f t="shared" si="173"/>
        <v>0</v>
      </c>
      <c r="DL67" s="943"/>
      <c r="DM67" s="1141">
        <f t="shared" si="189"/>
        <v>62335000</v>
      </c>
      <c r="DN67" s="1141">
        <f t="shared" si="190"/>
        <v>62335000</v>
      </c>
      <c r="DO67" s="1141">
        <f t="shared" si="191"/>
        <v>4588347</v>
      </c>
      <c r="DP67" s="916">
        <f t="shared" si="192"/>
        <v>66923347</v>
      </c>
      <c r="DQ67" s="916">
        <f t="shared" si="192"/>
        <v>66923347</v>
      </c>
    </row>
    <row r="68" spans="1:126" ht="15" customHeight="1">
      <c r="A68" s="949" t="s">
        <v>746</v>
      </c>
      <c r="B68" s="949"/>
      <c r="C68" s="1153"/>
      <c r="D68" s="1153"/>
      <c r="E68" s="909">
        <f t="shared" si="152"/>
        <v>0</v>
      </c>
      <c r="F68" s="943"/>
      <c r="G68" s="909"/>
      <c r="H68" s="1153"/>
      <c r="I68" s="1153"/>
      <c r="J68" s="909">
        <f t="shared" si="153"/>
        <v>0</v>
      </c>
      <c r="K68" s="943"/>
      <c r="L68" s="909"/>
      <c r="M68" s="1153"/>
      <c r="N68" s="1153"/>
      <c r="O68" s="909">
        <f t="shared" si="154"/>
        <v>0</v>
      </c>
      <c r="P68" s="943"/>
      <c r="Q68" s="909"/>
      <c r="R68" s="1153"/>
      <c r="S68" s="1153"/>
      <c r="T68" s="909">
        <f t="shared" si="155"/>
        <v>0</v>
      </c>
      <c r="U68" s="943"/>
      <c r="V68" s="909"/>
      <c r="W68" s="909"/>
      <c r="X68" s="1153"/>
      <c r="Y68" s="909">
        <f t="shared" si="156"/>
        <v>0</v>
      </c>
      <c r="Z68" s="943"/>
      <c r="AA68" s="909"/>
      <c r="AB68" s="1153"/>
      <c r="AC68" s="1153"/>
      <c r="AD68" s="909">
        <f t="shared" si="157"/>
        <v>0</v>
      </c>
      <c r="AE68" s="943">
        <f t="shared" si="174"/>
        <v>0</v>
      </c>
      <c r="AF68" s="909"/>
      <c r="AG68" s="1153"/>
      <c r="AH68" s="1153"/>
      <c r="AI68" s="909">
        <f t="shared" si="158"/>
        <v>0</v>
      </c>
      <c r="AJ68" s="943">
        <f t="shared" si="175"/>
        <v>0</v>
      </c>
      <c r="AK68" s="909"/>
      <c r="AL68" s="1153"/>
      <c r="AM68" s="1153"/>
      <c r="AN68" s="909">
        <f t="shared" si="159"/>
        <v>0</v>
      </c>
      <c r="AO68" s="943">
        <f t="shared" si="176"/>
        <v>0</v>
      </c>
      <c r="AP68" s="909"/>
      <c r="AQ68" s="909"/>
      <c r="AR68" s="909"/>
      <c r="AS68" s="909">
        <f t="shared" si="160"/>
        <v>0</v>
      </c>
      <c r="AT68" s="943">
        <f t="shared" si="177"/>
        <v>0</v>
      </c>
      <c r="AU68" s="909"/>
      <c r="AV68" s="1153"/>
      <c r="AW68" s="1153"/>
      <c r="AX68" s="909">
        <f t="shared" si="161"/>
        <v>0</v>
      </c>
      <c r="AY68" s="943">
        <f t="shared" si="178"/>
        <v>0</v>
      </c>
      <c r="AZ68" s="909"/>
      <c r="BA68" s="909"/>
      <c r="BB68" s="909"/>
      <c r="BC68" s="909">
        <f t="shared" si="162"/>
        <v>0</v>
      </c>
      <c r="BD68" s="943">
        <f t="shared" si="179"/>
        <v>0</v>
      </c>
      <c r="BE68" s="1160">
        <f t="shared" si="180"/>
        <v>0</v>
      </c>
      <c r="BF68" s="1160">
        <f t="shared" si="163"/>
        <v>0</v>
      </c>
      <c r="BG68" s="1160">
        <f t="shared" si="164"/>
        <v>0</v>
      </c>
      <c r="BH68" s="916">
        <f t="shared" si="181"/>
        <v>0</v>
      </c>
      <c r="BI68" s="916">
        <f t="shared" si="181"/>
        <v>0</v>
      </c>
      <c r="BJ68" s="1153"/>
      <c r="BK68" s="1153"/>
      <c r="BL68" s="1153"/>
      <c r="BM68" s="909">
        <f t="shared" si="165"/>
        <v>0</v>
      </c>
      <c r="BN68" s="943"/>
      <c r="BO68" s="909"/>
      <c r="BP68" s="1153"/>
      <c r="BQ68" s="1153"/>
      <c r="BR68" s="909">
        <f t="shared" si="166"/>
        <v>0</v>
      </c>
      <c r="BS68" s="943">
        <f t="shared" ref="BS68:BS75" si="193">BP68-BO68</f>
        <v>0</v>
      </c>
      <c r="BT68" s="909"/>
      <c r="BU68" s="1153"/>
      <c r="BV68" s="1153"/>
      <c r="BW68" s="909">
        <f t="shared" si="167"/>
        <v>0</v>
      </c>
      <c r="BX68" s="943"/>
      <c r="BY68" s="909"/>
      <c r="BZ68" s="1153"/>
      <c r="CA68" s="1153"/>
      <c r="CB68" s="909">
        <f t="shared" si="168"/>
        <v>0</v>
      </c>
      <c r="CC68" s="943"/>
      <c r="CD68" s="909"/>
      <c r="CE68" s="1153"/>
      <c r="CF68" s="1153"/>
      <c r="CG68" s="909">
        <f t="shared" si="169"/>
        <v>0</v>
      </c>
      <c r="CH68" s="943">
        <f t="shared" si="182"/>
        <v>0</v>
      </c>
      <c r="CI68" s="909"/>
      <c r="CJ68" s="1153"/>
      <c r="CK68" s="1153"/>
      <c r="CL68" s="909">
        <f t="shared" si="170"/>
        <v>0</v>
      </c>
      <c r="CM68" s="943"/>
      <c r="CN68" s="909"/>
      <c r="CO68" s="1153"/>
      <c r="CP68" s="1153"/>
      <c r="CQ68" s="909">
        <f t="shared" si="171"/>
        <v>0</v>
      </c>
      <c r="CR68" s="943">
        <f t="shared" si="183"/>
        <v>0</v>
      </c>
      <c r="CS68" s="909"/>
      <c r="CT68" s="1153"/>
      <c r="CU68" s="1153"/>
      <c r="CV68" s="909">
        <f t="shared" si="172"/>
        <v>0</v>
      </c>
      <c r="CW68" s="943">
        <f t="shared" si="184"/>
        <v>0</v>
      </c>
      <c r="CX68" s="943"/>
      <c r="CY68" s="943"/>
      <c r="CZ68" s="943"/>
      <c r="DA68" s="943">
        <v>0</v>
      </c>
      <c r="DB68" s="943"/>
      <c r="DC68" s="1160">
        <f t="shared" si="185"/>
        <v>0</v>
      </c>
      <c r="DD68" s="1160">
        <f t="shared" si="186"/>
        <v>0</v>
      </c>
      <c r="DE68" s="1160">
        <f t="shared" si="187"/>
        <v>0</v>
      </c>
      <c r="DF68" s="916">
        <f t="shared" si="188"/>
        <v>0</v>
      </c>
      <c r="DG68" s="916">
        <v>0</v>
      </c>
      <c r="DH68" s="916"/>
      <c r="DI68" s="909"/>
      <c r="DJ68" s="909"/>
      <c r="DK68" s="909">
        <f t="shared" si="173"/>
        <v>0</v>
      </c>
      <c r="DL68" s="943"/>
      <c r="DM68" s="1141">
        <f t="shared" si="189"/>
        <v>0</v>
      </c>
      <c r="DN68" s="1141">
        <f t="shared" si="190"/>
        <v>0</v>
      </c>
      <c r="DO68" s="1141">
        <f t="shared" si="191"/>
        <v>0</v>
      </c>
      <c r="DP68" s="916">
        <f t="shared" si="192"/>
        <v>0</v>
      </c>
      <c r="DQ68" s="916">
        <f t="shared" si="192"/>
        <v>0</v>
      </c>
    </row>
    <row r="69" spans="1:126" ht="15" hidden="1" customHeight="1">
      <c r="A69" s="949" t="s">
        <v>747</v>
      </c>
      <c r="B69" s="949"/>
      <c r="C69" s="1153"/>
      <c r="D69" s="1153"/>
      <c r="E69" s="909">
        <f t="shared" si="152"/>
        <v>0</v>
      </c>
      <c r="F69" s="943"/>
      <c r="G69" s="909"/>
      <c r="H69" s="1153"/>
      <c r="I69" s="1153"/>
      <c r="J69" s="909">
        <f t="shared" si="153"/>
        <v>0</v>
      </c>
      <c r="K69" s="943"/>
      <c r="L69" s="1153"/>
      <c r="M69" s="1153"/>
      <c r="N69" s="1153"/>
      <c r="O69" s="909">
        <f t="shared" si="154"/>
        <v>0</v>
      </c>
      <c r="P69" s="943"/>
      <c r="Q69" s="909"/>
      <c r="R69" s="1153"/>
      <c r="S69" s="1153"/>
      <c r="T69" s="909">
        <f t="shared" si="155"/>
        <v>0</v>
      </c>
      <c r="U69" s="943"/>
      <c r="V69" s="909"/>
      <c r="W69" s="909"/>
      <c r="X69" s="1153"/>
      <c r="Y69" s="909">
        <f t="shared" si="156"/>
        <v>0</v>
      </c>
      <c r="Z69" s="943"/>
      <c r="AA69" s="909"/>
      <c r="AB69" s="1153"/>
      <c r="AC69" s="1153"/>
      <c r="AD69" s="909">
        <f t="shared" si="157"/>
        <v>0</v>
      </c>
      <c r="AE69" s="943">
        <f t="shared" si="174"/>
        <v>0</v>
      </c>
      <c r="AF69" s="909"/>
      <c r="AG69" s="1153"/>
      <c r="AH69" s="1153"/>
      <c r="AI69" s="909">
        <f t="shared" si="158"/>
        <v>0</v>
      </c>
      <c r="AJ69" s="943">
        <f t="shared" si="175"/>
        <v>0</v>
      </c>
      <c r="AK69" s="909"/>
      <c r="AL69" s="1153"/>
      <c r="AM69" s="1153"/>
      <c r="AN69" s="909">
        <f t="shared" si="159"/>
        <v>0</v>
      </c>
      <c r="AO69" s="943">
        <f t="shared" si="176"/>
        <v>0</v>
      </c>
      <c r="AP69" s="909"/>
      <c r="AQ69" s="909"/>
      <c r="AR69" s="909"/>
      <c r="AS69" s="909">
        <f t="shared" si="160"/>
        <v>0</v>
      </c>
      <c r="AT69" s="943">
        <f t="shared" si="177"/>
        <v>0</v>
      </c>
      <c r="AU69" s="909"/>
      <c r="AV69" s="1153"/>
      <c r="AW69" s="1153"/>
      <c r="AX69" s="909">
        <f t="shared" si="161"/>
        <v>0</v>
      </c>
      <c r="AY69" s="943">
        <f t="shared" si="178"/>
        <v>0</v>
      </c>
      <c r="AZ69" s="909"/>
      <c r="BA69" s="909"/>
      <c r="BB69" s="909"/>
      <c r="BC69" s="909">
        <f t="shared" si="162"/>
        <v>0</v>
      </c>
      <c r="BD69" s="943">
        <f t="shared" si="179"/>
        <v>0</v>
      </c>
      <c r="BE69" s="1160">
        <f t="shared" si="180"/>
        <v>0</v>
      </c>
      <c r="BF69" s="1160">
        <f t="shared" si="163"/>
        <v>0</v>
      </c>
      <c r="BG69" s="1160">
        <f t="shared" si="164"/>
        <v>0</v>
      </c>
      <c r="BH69" s="916">
        <f t="shared" si="181"/>
        <v>0</v>
      </c>
      <c r="BI69" s="916">
        <f t="shared" si="181"/>
        <v>0</v>
      </c>
      <c r="BJ69" s="909"/>
      <c r="BK69" s="1153"/>
      <c r="BL69" s="1153"/>
      <c r="BM69" s="909">
        <f t="shared" si="165"/>
        <v>0</v>
      </c>
      <c r="BN69" s="943"/>
      <c r="BO69" s="909"/>
      <c r="BP69" s="1153"/>
      <c r="BQ69" s="1153"/>
      <c r="BR69" s="909">
        <f t="shared" si="166"/>
        <v>0</v>
      </c>
      <c r="BS69" s="943">
        <f t="shared" si="193"/>
        <v>0</v>
      </c>
      <c r="BT69" s="909"/>
      <c r="BU69" s="1153"/>
      <c r="BV69" s="1153"/>
      <c r="BW69" s="909">
        <f t="shared" si="167"/>
        <v>0</v>
      </c>
      <c r="BX69" s="943"/>
      <c r="BY69" s="909"/>
      <c r="BZ69" s="1153"/>
      <c r="CA69" s="1153"/>
      <c r="CB69" s="909">
        <f t="shared" si="168"/>
        <v>0</v>
      </c>
      <c r="CC69" s="943"/>
      <c r="CD69" s="909"/>
      <c r="CE69" s="1153"/>
      <c r="CF69" s="1153"/>
      <c r="CG69" s="909">
        <f t="shared" si="169"/>
        <v>0</v>
      </c>
      <c r="CH69" s="943">
        <f t="shared" si="182"/>
        <v>0</v>
      </c>
      <c r="CI69" s="909"/>
      <c r="CJ69" s="1153"/>
      <c r="CK69" s="1153"/>
      <c r="CL69" s="909">
        <f t="shared" si="170"/>
        <v>0</v>
      </c>
      <c r="CM69" s="943"/>
      <c r="CN69" s="909"/>
      <c r="CO69" s="1153"/>
      <c r="CP69" s="1153"/>
      <c r="CQ69" s="909">
        <f t="shared" si="171"/>
        <v>0</v>
      </c>
      <c r="CR69" s="943">
        <f t="shared" si="183"/>
        <v>0</v>
      </c>
      <c r="CS69" s="909"/>
      <c r="CT69" s="1153"/>
      <c r="CU69" s="1153"/>
      <c r="CV69" s="909">
        <f t="shared" si="172"/>
        <v>0</v>
      </c>
      <c r="CW69" s="943">
        <f t="shared" si="184"/>
        <v>0</v>
      </c>
      <c r="CX69" s="943"/>
      <c r="CY69" s="943"/>
      <c r="CZ69" s="943"/>
      <c r="DA69" s="943"/>
      <c r="DB69" s="943"/>
      <c r="DC69" s="1160">
        <f t="shared" si="185"/>
        <v>0</v>
      </c>
      <c r="DD69" s="1160">
        <f t="shared" si="186"/>
        <v>0</v>
      </c>
      <c r="DE69" s="1160">
        <f t="shared" si="187"/>
        <v>0</v>
      </c>
      <c r="DF69" s="916">
        <f t="shared" si="188"/>
        <v>0</v>
      </c>
      <c r="DG69" s="916">
        <v>0</v>
      </c>
      <c r="DH69" s="916"/>
      <c r="DI69" s="909"/>
      <c r="DJ69" s="909"/>
      <c r="DK69" s="909">
        <f t="shared" si="173"/>
        <v>0</v>
      </c>
      <c r="DL69" s="943"/>
      <c r="DM69" s="1141">
        <f t="shared" si="189"/>
        <v>0</v>
      </c>
      <c r="DN69" s="1141">
        <f t="shared" si="190"/>
        <v>0</v>
      </c>
      <c r="DO69" s="1141">
        <f t="shared" si="191"/>
        <v>0</v>
      </c>
      <c r="DP69" s="916">
        <f t="shared" si="192"/>
        <v>0</v>
      </c>
      <c r="DQ69" s="916">
        <f t="shared" si="192"/>
        <v>0</v>
      </c>
      <c r="DR69" s="451"/>
      <c r="DS69" s="451"/>
      <c r="DT69" s="919"/>
      <c r="DU69" s="919"/>
      <c r="DV69" s="919"/>
    </row>
    <row r="70" spans="1:126" ht="15" hidden="1" customHeight="1">
      <c r="A70" s="920" t="s">
        <v>748</v>
      </c>
      <c r="B70" s="920"/>
      <c r="C70" s="1153"/>
      <c r="D70" s="1153"/>
      <c r="E70" s="909">
        <f t="shared" si="152"/>
        <v>0</v>
      </c>
      <c r="F70" s="943"/>
      <c r="G70" s="909"/>
      <c r="H70" s="1153"/>
      <c r="I70" s="1153"/>
      <c r="J70" s="909">
        <f t="shared" si="153"/>
        <v>0</v>
      </c>
      <c r="K70" s="943"/>
      <c r="L70" s="909"/>
      <c r="M70" s="1153"/>
      <c r="N70" s="1153"/>
      <c r="O70" s="909">
        <f t="shared" si="154"/>
        <v>0</v>
      </c>
      <c r="P70" s="943"/>
      <c r="Q70" s="909"/>
      <c r="R70" s="1153"/>
      <c r="S70" s="1153"/>
      <c r="T70" s="909">
        <f t="shared" si="155"/>
        <v>0</v>
      </c>
      <c r="U70" s="943"/>
      <c r="V70" s="909"/>
      <c r="W70" s="909"/>
      <c r="X70" s="1153"/>
      <c r="Y70" s="909">
        <f t="shared" si="156"/>
        <v>0</v>
      </c>
      <c r="Z70" s="943"/>
      <c r="AA70" s="909"/>
      <c r="AB70" s="1153"/>
      <c r="AC70" s="1153"/>
      <c r="AD70" s="909">
        <f t="shared" si="157"/>
        <v>0</v>
      </c>
      <c r="AE70" s="943">
        <f t="shared" si="174"/>
        <v>0</v>
      </c>
      <c r="AF70" s="909"/>
      <c r="AG70" s="1153"/>
      <c r="AH70" s="1153"/>
      <c r="AI70" s="909">
        <f t="shared" si="158"/>
        <v>0</v>
      </c>
      <c r="AJ70" s="943">
        <f t="shared" si="175"/>
        <v>0</v>
      </c>
      <c r="AK70" s="909"/>
      <c r="AL70" s="1153"/>
      <c r="AM70" s="1153"/>
      <c r="AN70" s="909">
        <f t="shared" si="159"/>
        <v>0</v>
      </c>
      <c r="AO70" s="943">
        <f t="shared" si="176"/>
        <v>0</v>
      </c>
      <c r="AP70" s="909"/>
      <c r="AQ70" s="909"/>
      <c r="AR70" s="909"/>
      <c r="AS70" s="909">
        <f t="shared" si="160"/>
        <v>0</v>
      </c>
      <c r="AT70" s="943">
        <f t="shared" si="177"/>
        <v>0</v>
      </c>
      <c r="AU70" s="909"/>
      <c r="AV70" s="1153"/>
      <c r="AW70" s="1153"/>
      <c r="AX70" s="909">
        <f t="shared" si="161"/>
        <v>0</v>
      </c>
      <c r="AY70" s="943">
        <f t="shared" si="178"/>
        <v>0</v>
      </c>
      <c r="AZ70" s="909"/>
      <c r="BA70" s="909"/>
      <c r="BB70" s="909"/>
      <c r="BC70" s="909">
        <f t="shared" si="162"/>
        <v>0</v>
      </c>
      <c r="BD70" s="943">
        <f t="shared" si="179"/>
        <v>0</v>
      </c>
      <c r="BE70" s="1160">
        <f t="shared" si="180"/>
        <v>0</v>
      </c>
      <c r="BF70" s="1160">
        <f t="shared" si="163"/>
        <v>0</v>
      </c>
      <c r="BG70" s="1160">
        <f t="shared" si="164"/>
        <v>0</v>
      </c>
      <c r="BH70" s="916">
        <f t="shared" si="181"/>
        <v>0</v>
      </c>
      <c r="BI70" s="916">
        <f t="shared" si="181"/>
        <v>0</v>
      </c>
      <c r="BJ70" s="909"/>
      <c r="BK70" s="1153"/>
      <c r="BL70" s="1153"/>
      <c r="BM70" s="909">
        <f t="shared" si="165"/>
        <v>0</v>
      </c>
      <c r="BN70" s="943"/>
      <c r="BO70" s="909"/>
      <c r="BP70" s="1153"/>
      <c r="BQ70" s="1153"/>
      <c r="BR70" s="909">
        <f t="shared" si="166"/>
        <v>0</v>
      </c>
      <c r="BS70" s="943">
        <f t="shared" si="193"/>
        <v>0</v>
      </c>
      <c r="BT70" s="909"/>
      <c r="BU70" s="1153"/>
      <c r="BV70" s="1153"/>
      <c r="BW70" s="909">
        <f t="shared" si="167"/>
        <v>0</v>
      </c>
      <c r="BX70" s="943"/>
      <c r="BY70" s="909"/>
      <c r="BZ70" s="1153"/>
      <c r="CA70" s="1153"/>
      <c r="CB70" s="909">
        <f t="shared" si="168"/>
        <v>0</v>
      </c>
      <c r="CC70" s="943"/>
      <c r="CD70" s="909"/>
      <c r="CE70" s="1153"/>
      <c r="CF70" s="1153"/>
      <c r="CG70" s="909">
        <f t="shared" si="169"/>
        <v>0</v>
      </c>
      <c r="CH70" s="943">
        <f t="shared" si="182"/>
        <v>0</v>
      </c>
      <c r="CI70" s="909"/>
      <c r="CJ70" s="1153"/>
      <c r="CK70" s="1153"/>
      <c r="CL70" s="909">
        <f t="shared" si="170"/>
        <v>0</v>
      </c>
      <c r="CM70" s="943"/>
      <c r="CN70" s="909"/>
      <c r="CO70" s="1153"/>
      <c r="CP70" s="1153"/>
      <c r="CQ70" s="909">
        <f t="shared" si="171"/>
        <v>0</v>
      </c>
      <c r="CR70" s="943">
        <f t="shared" si="183"/>
        <v>0</v>
      </c>
      <c r="CS70" s="909"/>
      <c r="CT70" s="1153"/>
      <c r="CU70" s="1153"/>
      <c r="CV70" s="909">
        <f t="shared" si="172"/>
        <v>0</v>
      </c>
      <c r="CW70" s="943">
        <f t="shared" si="184"/>
        <v>0</v>
      </c>
      <c r="CX70" s="943"/>
      <c r="CY70" s="943"/>
      <c r="CZ70" s="943"/>
      <c r="DA70" s="943"/>
      <c r="DB70" s="943"/>
      <c r="DC70" s="1160">
        <f t="shared" si="185"/>
        <v>0</v>
      </c>
      <c r="DD70" s="1160">
        <f t="shared" si="186"/>
        <v>0</v>
      </c>
      <c r="DE70" s="1160">
        <f t="shared" si="187"/>
        <v>0</v>
      </c>
      <c r="DF70" s="916">
        <f t="shared" si="188"/>
        <v>0</v>
      </c>
      <c r="DG70" s="916">
        <v>0</v>
      </c>
      <c r="DH70" s="916"/>
      <c r="DI70" s="909"/>
      <c r="DJ70" s="909"/>
      <c r="DK70" s="909">
        <f t="shared" si="173"/>
        <v>0</v>
      </c>
      <c r="DL70" s="943"/>
      <c r="DM70" s="1141">
        <f t="shared" si="189"/>
        <v>0</v>
      </c>
      <c r="DN70" s="1141">
        <f t="shared" si="190"/>
        <v>0</v>
      </c>
      <c r="DO70" s="1141">
        <f t="shared" si="191"/>
        <v>0</v>
      </c>
      <c r="DP70" s="916">
        <f t="shared" si="192"/>
        <v>0</v>
      </c>
      <c r="DQ70" s="916">
        <f t="shared" si="192"/>
        <v>0</v>
      </c>
      <c r="DR70" s="451"/>
      <c r="DS70" s="451"/>
      <c r="DT70" s="919"/>
      <c r="DU70" s="919"/>
      <c r="DV70" s="919"/>
    </row>
    <row r="71" spans="1:126" ht="15" hidden="1" customHeight="1">
      <c r="A71" s="920" t="s">
        <v>749</v>
      </c>
      <c r="B71" s="920"/>
      <c r="C71" s="1153"/>
      <c r="D71" s="1153"/>
      <c r="E71" s="909">
        <f t="shared" si="152"/>
        <v>0</v>
      </c>
      <c r="F71" s="943"/>
      <c r="G71" s="909"/>
      <c r="H71" s="1153"/>
      <c r="I71" s="1153"/>
      <c r="J71" s="909">
        <f t="shared" si="153"/>
        <v>0</v>
      </c>
      <c r="K71" s="943"/>
      <c r="L71" s="909"/>
      <c r="M71" s="1153"/>
      <c r="N71" s="1153"/>
      <c r="O71" s="909">
        <f t="shared" si="154"/>
        <v>0</v>
      </c>
      <c r="P71" s="943"/>
      <c r="Q71" s="909"/>
      <c r="R71" s="1153"/>
      <c r="S71" s="1153"/>
      <c r="T71" s="909">
        <f t="shared" si="155"/>
        <v>0</v>
      </c>
      <c r="U71" s="943"/>
      <c r="V71" s="909"/>
      <c r="W71" s="909"/>
      <c r="X71" s="1153"/>
      <c r="Y71" s="909">
        <f t="shared" si="156"/>
        <v>0</v>
      </c>
      <c r="Z71" s="943"/>
      <c r="AA71" s="909"/>
      <c r="AB71" s="1153"/>
      <c r="AC71" s="1153"/>
      <c r="AD71" s="909">
        <f t="shared" si="157"/>
        <v>0</v>
      </c>
      <c r="AE71" s="943">
        <f t="shared" si="174"/>
        <v>0</v>
      </c>
      <c r="AF71" s="909"/>
      <c r="AG71" s="1153"/>
      <c r="AH71" s="1153"/>
      <c r="AI71" s="909">
        <f t="shared" si="158"/>
        <v>0</v>
      </c>
      <c r="AJ71" s="943">
        <f t="shared" si="175"/>
        <v>0</v>
      </c>
      <c r="AK71" s="909"/>
      <c r="AL71" s="1153"/>
      <c r="AM71" s="1153"/>
      <c r="AN71" s="909">
        <f t="shared" si="159"/>
        <v>0</v>
      </c>
      <c r="AO71" s="943">
        <f t="shared" si="176"/>
        <v>0</v>
      </c>
      <c r="AP71" s="909"/>
      <c r="AQ71" s="909"/>
      <c r="AR71" s="909"/>
      <c r="AS71" s="909">
        <f t="shared" si="160"/>
        <v>0</v>
      </c>
      <c r="AT71" s="943">
        <f t="shared" si="177"/>
        <v>0</v>
      </c>
      <c r="AU71" s="909"/>
      <c r="AV71" s="1153"/>
      <c r="AW71" s="1153"/>
      <c r="AX71" s="909">
        <f t="shared" si="161"/>
        <v>0</v>
      </c>
      <c r="AY71" s="943">
        <f t="shared" si="178"/>
        <v>0</v>
      </c>
      <c r="AZ71" s="909"/>
      <c r="BA71" s="909"/>
      <c r="BB71" s="909"/>
      <c r="BC71" s="909">
        <f t="shared" si="162"/>
        <v>0</v>
      </c>
      <c r="BD71" s="943">
        <f t="shared" si="179"/>
        <v>0</v>
      </c>
      <c r="BE71" s="1160">
        <f t="shared" si="180"/>
        <v>0</v>
      </c>
      <c r="BF71" s="1160">
        <f t="shared" si="163"/>
        <v>0</v>
      </c>
      <c r="BG71" s="1160">
        <f t="shared" si="164"/>
        <v>0</v>
      </c>
      <c r="BH71" s="916">
        <f t="shared" si="181"/>
        <v>0</v>
      </c>
      <c r="BI71" s="916">
        <f t="shared" si="181"/>
        <v>0</v>
      </c>
      <c r="BJ71" s="909"/>
      <c r="BK71" s="1153"/>
      <c r="BL71" s="1153"/>
      <c r="BM71" s="909">
        <f t="shared" si="165"/>
        <v>0</v>
      </c>
      <c r="BN71" s="943"/>
      <c r="BO71" s="909"/>
      <c r="BP71" s="1153"/>
      <c r="BQ71" s="1153"/>
      <c r="BR71" s="909">
        <f t="shared" si="166"/>
        <v>0</v>
      </c>
      <c r="BS71" s="943">
        <f t="shared" si="193"/>
        <v>0</v>
      </c>
      <c r="BT71" s="909"/>
      <c r="BU71" s="1153"/>
      <c r="BV71" s="1153"/>
      <c r="BW71" s="909">
        <f t="shared" si="167"/>
        <v>0</v>
      </c>
      <c r="BX71" s="943"/>
      <c r="BY71" s="909"/>
      <c r="BZ71" s="1153"/>
      <c r="CA71" s="1153"/>
      <c r="CB71" s="909">
        <f t="shared" si="168"/>
        <v>0</v>
      </c>
      <c r="CC71" s="943"/>
      <c r="CD71" s="909"/>
      <c r="CE71" s="1153"/>
      <c r="CF71" s="1153"/>
      <c r="CG71" s="909">
        <f t="shared" si="169"/>
        <v>0</v>
      </c>
      <c r="CH71" s="943">
        <f t="shared" si="182"/>
        <v>0</v>
      </c>
      <c r="CI71" s="909"/>
      <c r="CJ71" s="1153"/>
      <c r="CK71" s="1153"/>
      <c r="CL71" s="909">
        <f t="shared" si="170"/>
        <v>0</v>
      </c>
      <c r="CM71" s="943"/>
      <c r="CN71" s="909"/>
      <c r="CO71" s="1153"/>
      <c r="CP71" s="1153"/>
      <c r="CQ71" s="909">
        <f t="shared" si="171"/>
        <v>0</v>
      </c>
      <c r="CR71" s="943">
        <f t="shared" si="183"/>
        <v>0</v>
      </c>
      <c r="CS71" s="909"/>
      <c r="CT71" s="1153"/>
      <c r="CU71" s="1153"/>
      <c r="CV71" s="909">
        <f t="shared" si="172"/>
        <v>0</v>
      </c>
      <c r="CW71" s="943">
        <f t="shared" si="184"/>
        <v>0</v>
      </c>
      <c r="CX71" s="943"/>
      <c r="CY71" s="943"/>
      <c r="CZ71" s="943"/>
      <c r="DA71" s="943"/>
      <c r="DB71" s="943"/>
      <c r="DC71" s="1160">
        <f t="shared" si="185"/>
        <v>0</v>
      </c>
      <c r="DD71" s="1160">
        <f t="shared" si="186"/>
        <v>0</v>
      </c>
      <c r="DE71" s="1160">
        <f t="shared" si="187"/>
        <v>0</v>
      </c>
      <c r="DF71" s="916">
        <f t="shared" si="188"/>
        <v>0</v>
      </c>
      <c r="DG71" s="916">
        <v>0</v>
      </c>
      <c r="DH71" s="916"/>
      <c r="DI71" s="909"/>
      <c r="DJ71" s="909"/>
      <c r="DK71" s="909">
        <f t="shared" si="173"/>
        <v>0</v>
      </c>
      <c r="DL71" s="943"/>
      <c r="DM71" s="1141">
        <f t="shared" si="189"/>
        <v>0</v>
      </c>
      <c r="DN71" s="1141">
        <f t="shared" si="190"/>
        <v>0</v>
      </c>
      <c r="DO71" s="1141">
        <f t="shared" si="191"/>
        <v>0</v>
      </c>
      <c r="DP71" s="916">
        <f t="shared" si="192"/>
        <v>0</v>
      </c>
      <c r="DQ71" s="916">
        <f t="shared" si="192"/>
        <v>0</v>
      </c>
      <c r="DR71" s="451"/>
      <c r="DS71" s="451"/>
      <c r="DT71" s="919"/>
      <c r="DU71" s="919"/>
      <c r="DV71" s="919"/>
    </row>
    <row r="72" spans="1:126" ht="15" customHeight="1">
      <c r="A72" s="949" t="s">
        <v>750</v>
      </c>
      <c r="B72" s="949"/>
      <c r="C72" s="1153"/>
      <c r="D72" s="1153"/>
      <c r="E72" s="909">
        <f t="shared" si="152"/>
        <v>0</v>
      </c>
      <c r="F72" s="943"/>
      <c r="G72" s="909">
        <v>432448000</v>
      </c>
      <c r="H72" s="1153">
        <f>427948000+4500000</f>
        <v>432448000</v>
      </c>
      <c r="I72" s="1153"/>
      <c r="J72" s="909">
        <v>442058812</v>
      </c>
      <c r="K72" s="943">
        <v>424978456</v>
      </c>
      <c r="L72" s="1153"/>
      <c r="M72" s="1153"/>
      <c r="N72" s="1153"/>
      <c r="O72" s="909">
        <f t="shared" si="154"/>
        <v>0</v>
      </c>
      <c r="P72" s="943"/>
      <c r="Q72" s="909"/>
      <c r="R72" s="1153"/>
      <c r="S72" s="1153"/>
      <c r="T72" s="909">
        <f t="shared" si="155"/>
        <v>0</v>
      </c>
      <c r="U72" s="943"/>
      <c r="V72" s="909"/>
      <c r="W72" s="909"/>
      <c r="X72" s="1153"/>
      <c r="Y72" s="909">
        <f t="shared" si="156"/>
        <v>0</v>
      </c>
      <c r="Z72" s="943"/>
      <c r="AA72" s="909"/>
      <c r="AB72" s="1153"/>
      <c r="AC72" s="1153"/>
      <c r="AD72" s="909">
        <f t="shared" si="157"/>
        <v>0</v>
      </c>
      <c r="AE72" s="943">
        <f t="shared" si="174"/>
        <v>0</v>
      </c>
      <c r="AF72" s="909"/>
      <c r="AG72" s="1153"/>
      <c r="AH72" s="1153"/>
      <c r="AI72" s="909">
        <f t="shared" si="158"/>
        <v>0</v>
      </c>
      <c r="AJ72" s="943">
        <f t="shared" si="175"/>
        <v>0</v>
      </c>
      <c r="AK72" s="909"/>
      <c r="AL72" s="1153"/>
      <c r="AM72" s="1153"/>
      <c r="AN72" s="909">
        <f t="shared" si="159"/>
        <v>0</v>
      </c>
      <c r="AO72" s="943">
        <f t="shared" si="176"/>
        <v>0</v>
      </c>
      <c r="AP72" s="909"/>
      <c r="AQ72" s="909"/>
      <c r="AR72" s="909"/>
      <c r="AS72" s="909">
        <f t="shared" si="160"/>
        <v>0</v>
      </c>
      <c r="AT72" s="943">
        <f t="shared" si="177"/>
        <v>0</v>
      </c>
      <c r="AU72" s="909"/>
      <c r="AV72" s="1153"/>
      <c r="AW72" s="1153"/>
      <c r="AX72" s="909">
        <f t="shared" si="161"/>
        <v>0</v>
      </c>
      <c r="AY72" s="943">
        <f t="shared" si="178"/>
        <v>0</v>
      </c>
      <c r="AZ72" s="909"/>
      <c r="BA72" s="909"/>
      <c r="BB72" s="909"/>
      <c r="BC72" s="909">
        <f t="shared" si="162"/>
        <v>0</v>
      </c>
      <c r="BD72" s="943">
        <f t="shared" si="179"/>
        <v>0</v>
      </c>
      <c r="BE72" s="1160">
        <f t="shared" si="180"/>
        <v>432448000</v>
      </c>
      <c r="BF72" s="1160">
        <f t="shared" si="163"/>
        <v>432448000</v>
      </c>
      <c r="BG72" s="1160">
        <f t="shared" si="164"/>
        <v>0</v>
      </c>
      <c r="BH72" s="916">
        <f t="shared" si="181"/>
        <v>442058812</v>
      </c>
      <c r="BI72" s="916">
        <f t="shared" si="181"/>
        <v>424978456</v>
      </c>
      <c r="BJ72" s="909"/>
      <c r="BK72" s="1153"/>
      <c r="BL72" s="1153"/>
      <c r="BM72" s="909">
        <f t="shared" si="165"/>
        <v>0</v>
      </c>
      <c r="BN72" s="943"/>
      <c r="BO72" s="909"/>
      <c r="BP72" s="1153"/>
      <c r="BQ72" s="1153"/>
      <c r="BR72" s="909">
        <f t="shared" si="166"/>
        <v>0</v>
      </c>
      <c r="BS72" s="943">
        <f t="shared" si="193"/>
        <v>0</v>
      </c>
      <c r="BT72" s="909"/>
      <c r="BU72" s="1153"/>
      <c r="BV72" s="1153"/>
      <c r="BW72" s="909">
        <f t="shared" si="167"/>
        <v>0</v>
      </c>
      <c r="BX72" s="943">
        <f>380-380</f>
        <v>0</v>
      </c>
      <c r="BY72" s="909"/>
      <c r="BZ72" s="1153"/>
      <c r="CA72" s="1153"/>
      <c r="CB72" s="909">
        <f t="shared" si="168"/>
        <v>0</v>
      </c>
      <c r="CC72" s="943"/>
      <c r="CD72" s="909"/>
      <c r="CE72" s="1153"/>
      <c r="CF72" s="1153"/>
      <c r="CG72" s="909">
        <f t="shared" si="169"/>
        <v>0</v>
      </c>
      <c r="CH72" s="943">
        <f t="shared" si="182"/>
        <v>0</v>
      </c>
      <c r="CI72" s="909"/>
      <c r="CJ72" s="1153"/>
      <c r="CK72" s="1153"/>
      <c r="CL72" s="909">
        <f t="shared" si="170"/>
        <v>0</v>
      </c>
      <c r="CM72" s="943"/>
      <c r="CN72" s="909"/>
      <c r="CO72" s="1153"/>
      <c r="CP72" s="1153"/>
      <c r="CQ72" s="909">
        <f t="shared" si="171"/>
        <v>0</v>
      </c>
      <c r="CR72" s="943">
        <f t="shared" si="183"/>
        <v>0</v>
      </c>
      <c r="CS72" s="909"/>
      <c r="CT72" s="1153"/>
      <c r="CU72" s="1153"/>
      <c r="CV72" s="909">
        <f t="shared" si="172"/>
        <v>0</v>
      </c>
      <c r="CW72" s="943">
        <f t="shared" si="184"/>
        <v>0</v>
      </c>
      <c r="CX72" s="943"/>
      <c r="CY72" s="943"/>
      <c r="CZ72" s="943"/>
      <c r="DA72" s="943">
        <v>0</v>
      </c>
      <c r="DB72" s="943"/>
      <c r="DC72" s="1160">
        <f t="shared" si="185"/>
        <v>0</v>
      </c>
      <c r="DD72" s="1160">
        <f t="shared" si="186"/>
        <v>0</v>
      </c>
      <c r="DE72" s="1160">
        <f t="shared" si="187"/>
        <v>0</v>
      </c>
      <c r="DF72" s="916">
        <f t="shared" si="188"/>
        <v>0</v>
      </c>
      <c r="DG72" s="916">
        <v>0</v>
      </c>
      <c r="DH72" s="916"/>
      <c r="DI72" s="909"/>
      <c r="DJ72" s="909"/>
      <c r="DK72" s="909">
        <f t="shared" si="173"/>
        <v>0</v>
      </c>
      <c r="DL72" s="943"/>
      <c r="DM72" s="1141">
        <f t="shared" si="189"/>
        <v>432448000</v>
      </c>
      <c r="DN72" s="1141">
        <f t="shared" si="190"/>
        <v>432448000</v>
      </c>
      <c r="DO72" s="1141">
        <f t="shared" si="191"/>
        <v>0</v>
      </c>
      <c r="DP72" s="916">
        <f t="shared" si="192"/>
        <v>442058812</v>
      </c>
      <c r="DQ72" s="916">
        <f t="shared" si="192"/>
        <v>424978456</v>
      </c>
      <c r="DR72" s="451"/>
      <c r="DS72" s="451"/>
      <c r="DT72" s="919"/>
      <c r="DU72" s="919"/>
      <c r="DV72" s="919"/>
    </row>
    <row r="73" spans="1:126" ht="15" hidden="1" customHeight="1">
      <c r="A73" s="949" t="s">
        <v>751</v>
      </c>
      <c r="B73" s="949"/>
      <c r="C73" s="1153"/>
      <c r="D73" s="1153"/>
      <c r="E73" s="909">
        <f t="shared" si="152"/>
        <v>0</v>
      </c>
      <c r="F73" s="943"/>
      <c r="G73" s="909"/>
      <c r="H73" s="1153"/>
      <c r="I73" s="1153"/>
      <c r="J73" s="909">
        <f>SUM(H73+I73)</f>
        <v>0</v>
      </c>
      <c r="K73" s="943"/>
      <c r="L73" s="909"/>
      <c r="M73" s="1153"/>
      <c r="N73" s="1153"/>
      <c r="O73" s="909">
        <f t="shared" si="154"/>
        <v>0</v>
      </c>
      <c r="P73" s="943"/>
      <c r="Q73" s="909"/>
      <c r="R73" s="1153"/>
      <c r="S73" s="1153"/>
      <c r="T73" s="909">
        <f t="shared" si="155"/>
        <v>0</v>
      </c>
      <c r="U73" s="943"/>
      <c r="V73" s="909"/>
      <c r="W73" s="909"/>
      <c r="X73" s="1153"/>
      <c r="Y73" s="909">
        <f t="shared" si="156"/>
        <v>0</v>
      </c>
      <c r="Z73" s="943"/>
      <c r="AA73" s="909"/>
      <c r="AB73" s="1153"/>
      <c r="AC73" s="1153"/>
      <c r="AD73" s="909">
        <f t="shared" si="157"/>
        <v>0</v>
      </c>
      <c r="AE73" s="943">
        <f t="shared" si="174"/>
        <v>0</v>
      </c>
      <c r="AF73" s="909"/>
      <c r="AG73" s="1153"/>
      <c r="AH73" s="1153"/>
      <c r="AI73" s="909">
        <f t="shared" si="158"/>
        <v>0</v>
      </c>
      <c r="AJ73" s="943">
        <f t="shared" si="175"/>
        <v>0</v>
      </c>
      <c r="AK73" s="909"/>
      <c r="AL73" s="1153"/>
      <c r="AM73" s="1153"/>
      <c r="AN73" s="909">
        <f t="shared" si="159"/>
        <v>0</v>
      </c>
      <c r="AO73" s="943">
        <f t="shared" si="176"/>
        <v>0</v>
      </c>
      <c r="AP73" s="909"/>
      <c r="AQ73" s="909"/>
      <c r="AR73" s="909"/>
      <c r="AS73" s="909">
        <f t="shared" si="160"/>
        <v>0</v>
      </c>
      <c r="AT73" s="943">
        <f t="shared" si="177"/>
        <v>0</v>
      </c>
      <c r="AU73" s="909"/>
      <c r="AV73" s="1153"/>
      <c r="AW73" s="1153"/>
      <c r="AX73" s="909">
        <f t="shared" si="161"/>
        <v>0</v>
      </c>
      <c r="AY73" s="943">
        <f t="shared" si="178"/>
        <v>0</v>
      </c>
      <c r="AZ73" s="909"/>
      <c r="BA73" s="909"/>
      <c r="BB73" s="909"/>
      <c r="BC73" s="909">
        <f t="shared" si="162"/>
        <v>0</v>
      </c>
      <c r="BD73" s="943">
        <f t="shared" si="179"/>
        <v>0</v>
      </c>
      <c r="BE73" s="1160">
        <f t="shared" si="180"/>
        <v>0</v>
      </c>
      <c r="BF73" s="1160">
        <f t="shared" si="163"/>
        <v>0</v>
      </c>
      <c r="BG73" s="1160">
        <f t="shared" si="164"/>
        <v>0</v>
      </c>
      <c r="BH73" s="916">
        <f t="shared" si="181"/>
        <v>0</v>
      </c>
      <c r="BI73" s="916">
        <f t="shared" si="181"/>
        <v>0</v>
      </c>
      <c r="BJ73" s="909"/>
      <c r="BK73" s="1153"/>
      <c r="BL73" s="1153"/>
      <c r="BM73" s="909">
        <f t="shared" si="165"/>
        <v>0</v>
      </c>
      <c r="BN73" s="943"/>
      <c r="BO73" s="909"/>
      <c r="BP73" s="1153"/>
      <c r="BQ73" s="1153"/>
      <c r="BR73" s="909">
        <f t="shared" si="166"/>
        <v>0</v>
      </c>
      <c r="BS73" s="943">
        <f t="shared" si="193"/>
        <v>0</v>
      </c>
      <c r="BT73" s="909"/>
      <c r="BU73" s="1153"/>
      <c r="BV73" s="1153"/>
      <c r="BW73" s="909">
        <f t="shared" si="167"/>
        <v>0</v>
      </c>
      <c r="BX73" s="943"/>
      <c r="BY73" s="909"/>
      <c r="BZ73" s="1153"/>
      <c r="CA73" s="1153"/>
      <c r="CB73" s="909">
        <f t="shared" si="168"/>
        <v>0</v>
      </c>
      <c r="CC73" s="943"/>
      <c r="CD73" s="909"/>
      <c r="CE73" s="1153"/>
      <c r="CF73" s="1153"/>
      <c r="CG73" s="909">
        <f t="shared" si="169"/>
        <v>0</v>
      </c>
      <c r="CH73" s="943">
        <f t="shared" si="182"/>
        <v>0</v>
      </c>
      <c r="CI73" s="909"/>
      <c r="CJ73" s="1153"/>
      <c r="CK73" s="1153"/>
      <c r="CL73" s="909">
        <f t="shared" si="170"/>
        <v>0</v>
      </c>
      <c r="CM73" s="943"/>
      <c r="CN73" s="909"/>
      <c r="CO73" s="1153"/>
      <c r="CP73" s="1153"/>
      <c r="CQ73" s="909">
        <f t="shared" si="171"/>
        <v>0</v>
      </c>
      <c r="CR73" s="943">
        <f t="shared" si="183"/>
        <v>0</v>
      </c>
      <c r="CS73" s="909"/>
      <c r="CT73" s="1153"/>
      <c r="CU73" s="1153"/>
      <c r="CV73" s="909">
        <f t="shared" si="172"/>
        <v>0</v>
      </c>
      <c r="CW73" s="943">
        <f t="shared" si="184"/>
        <v>0</v>
      </c>
      <c r="CX73" s="943"/>
      <c r="CY73" s="943"/>
      <c r="CZ73" s="943"/>
      <c r="DA73" s="943"/>
      <c r="DB73" s="943"/>
      <c r="DC73" s="1160">
        <f t="shared" si="185"/>
        <v>0</v>
      </c>
      <c r="DD73" s="1160">
        <f t="shared" si="186"/>
        <v>0</v>
      </c>
      <c r="DE73" s="1160">
        <f t="shared" si="187"/>
        <v>0</v>
      </c>
      <c r="DF73" s="916">
        <f t="shared" si="188"/>
        <v>0</v>
      </c>
      <c r="DG73" s="916">
        <v>0</v>
      </c>
      <c r="DH73" s="916"/>
      <c r="DI73" s="909"/>
      <c r="DJ73" s="909"/>
      <c r="DK73" s="909">
        <f t="shared" si="173"/>
        <v>0</v>
      </c>
      <c r="DL73" s="943"/>
      <c r="DM73" s="1141">
        <f t="shared" si="189"/>
        <v>0</v>
      </c>
      <c r="DN73" s="1141">
        <f t="shared" si="190"/>
        <v>0</v>
      </c>
      <c r="DO73" s="1141">
        <f t="shared" si="191"/>
        <v>0</v>
      </c>
      <c r="DP73" s="916">
        <f t="shared" si="192"/>
        <v>0</v>
      </c>
      <c r="DQ73" s="916">
        <f t="shared" si="192"/>
        <v>0</v>
      </c>
      <c r="DR73" s="451"/>
      <c r="DS73" s="451"/>
      <c r="DT73" s="919"/>
      <c r="DU73" s="919"/>
      <c r="DV73" s="919"/>
    </row>
    <row r="74" spans="1:126" ht="15" customHeight="1">
      <c r="A74" s="634" t="s">
        <v>752</v>
      </c>
      <c r="C74" s="1153"/>
      <c r="D74" s="1153"/>
      <c r="E74" s="909">
        <f t="shared" si="152"/>
        <v>0</v>
      </c>
      <c r="F74" s="943"/>
      <c r="G74" s="909"/>
      <c r="H74" s="1153"/>
      <c r="I74" s="1153"/>
      <c r="J74" s="909">
        <f>SUM(H74+I74)</f>
        <v>0</v>
      </c>
      <c r="K74" s="943"/>
      <c r="L74" s="909"/>
      <c r="M74" s="1153"/>
      <c r="N74" s="1153"/>
      <c r="O74" s="909">
        <f t="shared" si="154"/>
        <v>0</v>
      </c>
      <c r="P74" s="943"/>
      <c r="Q74" s="909"/>
      <c r="R74" s="1153"/>
      <c r="S74" s="1153"/>
      <c r="T74" s="909">
        <f t="shared" si="155"/>
        <v>0</v>
      </c>
      <c r="U74" s="943"/>
      <c r="V74" s="909"/>
      <c r="W74" s="909"/>
      <c r="X74" s="1153"/>
      <c r="Y74" s="909">
        <f t="shared" si="156"/>
        <v>0</v>
      </c>
      <c r="Z74" s="943"/>
      <c r="AA74" s="909"/>
      <c r="AB74" s="1153"/>
      <c r="AC74" s="1153"/>
      <c r="AD74" s="909">
        <f t="shared" si="157"/>
        <v>0</v>
      </c>
      <c r="AE74" s="943">
        <f t="shared" si="174"/>
        <v>0</v>
      </c>
      <c r="AF74" s="909"/>
      <c r="AG74" s="1153"/>
      <c r="AH74" s="1153"/>
      <c r="AI74" s="909">
        <f t="shared" si="158"/>
        <v>0</v>
      </c>
      <c r="AJ74" s="943">
        <f t="shared" si="175"/>
        <v>0</v>
      </c>
      <c r="AK74" s="909"/>
      <c r="AL74" s="1153"/>
      <c r="AM74" s="1153"/>
      <c r="AN74" s="909">
        <f t="shared" si="159"/>
        <v>0</v>
      </c>
      <c r="AO74" s="943">
        <f t="shared" si="176"/>
        <v>0</v>
      </c>
      <c r="AP74" s="909"/>
      <c r="AQ74" s="909"/>
      <c r="AR74" s="909"/>
      <c r="AS74" s="909">
        <f t="shared" si="160"/>
        <v>0</v>
      </c>
      <c r="AT74" s="943">
        <f t="shared" si="177"/>
        <v>0</v>
      </c>
      <c r="AU74" s="909"/>
      <c r="AV74" s="1153"/>
      <c r="AW74" s="1153"/>
      <c r="AX74" s="909">
        <f t="shared" si="161"/>
        <v>0</v>
      </c>
      <c r="AY74" s="943">
        <f t="shared" si="178"/>
        <v>0</v>
      </c>
      <c r="AZ74" s="909"/>
      <c r="BA74" s="909"/>
      <c r="BB74" s="909"/>
      <c r="BC74" s="909">
        <f t="shared" si="162"/>
        <v>0</v>
      </c>
      <c r="BD74" s="943">
        <f t="shared" si="179"/>
        <v>0</v>
      </c>
      <c r="BE74" s="1160">
        <f t="shared" si="180"/>
        <v>0</v>
      </c>
      <c r="BF74" s="1160">
        <f t="shared" si="163"/>
        <v>0</v>
      </c>
      <c r="BG74" s="1160">
        <f t="shared" si="164"/>
        <v>0</v>
      </c>
      <c r="BH74" s="916">
        <f t="shared" si="181"/>
        <v>0</v>
      </c>
      <c r="BI74" s="916">
        <f t="shared" si="181"/>
        <v>0</v>
      </c>
      <c r="BJ74" s="909"/>
      <c r="BK74" s="1153"/>
      <c r="BL74" s="1153"/>
      <c r="BM74" s="909">
        <f t="shared" si="165"/>
        <v>0</v>
      </c>
      <c r="BN74" s="943"/>
      <c r="BO74" s="909"/>
      <c r="BP74" s="1153"/>
      <c r="BQ74" s="1153"/>
      <c r="BR74" s="909">
        <f t="shared" si="166"/>
        <v>0</v>
      </c>
      <c r="BS74" s="943">
        <f t="shared" si="193"/>
        <v>0</v>
      </c>
      <c r="BT74" s="909"/>
      <c r="BU74" s="1153"/>
      <c r="BV74" s="1153"/>
      <c r="BW74" s="909">
        <f t="shared" si="167"/>
        <v>0</v>
      </c>
      <c r="BX74" s="943"/>
      <c r="BY74" s="909"/>
      <c r="BZ74" s="1153"/>
      <c r="CA74" s="1153"/>
      <c r="CB74" s="909">
        <f t="shared" si="168"/>
        <v>0</v>
      </c>
      <c r="CC74" s="943"/>
      <c r="CD74" s="909"/>
      <c r="CE74" s="1153"/>
      <c r="CF74" s="1153"/>
      <c r="CG74" s="909">
        <f t="shared" si="169"/>
        <v>0</v>
      </c>
      <c r="CH74" s="943">
        <f t="shared" si="182"/>
        <v>0</v>
      </c>
      <c r="CI74" s="909"/>
      <c r="CJ74" s="1153"/>
      <c r="CK74" s="1153"/>
      <c r="CL74" s="909">
        <f t="shared" si="170"/>
        <v>0</v>
      </c>
      <c r="CM74" s="943"/>
      <c r="CN74" s="909"/>
      <c r="CO74" s="1153"/>
      <c r="CP74" s="1153"/>
      <c r="CQ74" s="909">
        <f t="shared" si="171"/>
        <v>0</v>
      </c>
      <c r="CR74" s="943">
        <f t="shared" si="183"/>
        <v>0</v>
      </c>
      <c r="CS74" s="909"/>
      <c r="CT74" s="1153"/>
      <c r="CU74" s="1153"/>
      <c r="CV74" s="909">
        <f t="shared" si="172"/>
        <v>0</v>
      </c>
      <c r="CW74" s="943">
        <f t="shared" si="184"/>
        <v>0</v>
      </c>
      <c r="CX74" s="943"/>
      <c r="CY74" s="943"/>
      <c r="CZ74" s="943"/>
      <c r="DA74" s="943">
        <v>0</v>
      </c>
      <c r="DB74" s="943"/>
      <c r="DC74" s="1160">
        <f t="shared" si="185"/>
        <v>0</v>
      </c>
      <c r="DD74" s="1160">
        <f t="shared" si="186"/>
        <v>0</v>
      </c>
      <c r="DE74" s="1160">
        <f t="shared" si="187"/>
        <v>0</v>
      </c>
      <c r="DF74" s="916">
        <f t="shared" si="188"/>
        <v>0</v>
      </c>
      <c r="DG74" s="916">
        <v>0</v>
      </c>
      <c r="DH74" s="916"/>
      <c r="DI74" s="909"/>
      <c r="DJ74" s="909"/>
      <c r="DK74" s="909">
        <f t="shared" si="173"/>
        <v>0</v>
      </c>
      <c r="DL74" s="943"/>
      <c r="DM74" s="1141">
        <f t="shared" si="189"/>
        <v>0</v>
      </c>
      <c r="DN74" s="1141">
        <f t="shared" si="190"/>
        <v>0</v>
      </c>
      <c r="DO74" s="1141">
        <f t="shared" si="191"/>
        <v>0</v>
      </c>
      <c r="DP74" s="916">
        <f t="shared" si="192"/>
        <v>0</v>
      </c>
      <c r="DQ74" s="916">
        <f t="shared" si="192"/>
        <v>0</v>
      </c>
      <c r="DR74" s="451"/>
      <c r="DS74" s="451"/>
      <c r="DT74" s="919"/>
      <c r="DU74" s="919"/>
      <c r="DV74" s="919"/>
    </row>
    <row r="75" spans="1:126" ht="15" customHeight="1">
      <c r="A75" s="634" t="s">
        <v>753</v>
      </c>
      <c r="C75" s="1153"/>
      <c r="D75" s="1153"/>
      <c r="E75" s="909">
        <f t="shared" si="152"/>
        <v>0</v>
      </c>
      <c r="F75" s="943"/>
      <c r="G75" s="909"/>
      <c r="H75" s="1153"/>
      <c r="I75" s="1153"/>
      <c r="J75" s="909">
        <f>SUM(H75+I75)</f>
        <v>0</v>
      </c>
      <c r="K75" s="943"/>
      <c r="L75" s="909"/>
      <c r="M75" s="1153"/>
      <c r="N75" s="1153"/>
      <c r="O75" s="909">
        <f t="shared" si="154"/>
        <v>0</v>
      </c>
      <c r="P75" s="943"/>
      <c r="Q75" s="909"/>
      <c r="R75" s="1153"/>
      <c r="S75" s="1153"/>
      <c r="T75" s="909">
        <f t="shared" si="155"/>
        <v>0</v>
      </c>
      <c r="U75" s="943"/>
      <c r="V75" s="909"/>
      <c r="W75" s="909"/>
      <c r="X75" s="1153"/>
      <c r="Y75" s="909">
        <f t="shared" si="156"/>
        <v>0</v>
      </c>
      <c r="Z75" s="943"/>
      <c r="AA75" s="1153"/>
      <c r="AB75" s="1153"/>
      <c r="AC75" s="1153"/>
      <c r="AD75" s="909">
        <f t="shared" si="157"/>
        <v>0</v>
      </c>
      <c r="AE75" s="943">
        <f t="shared" si="174"/>
        <v>0</v>
      </c>
      <c r="AF75" s="909"/>
      <c r="AG75" s="1153"/>
      <c r="AH75" s="1153"/>
      <c r="AI75" s="909">
        <f t="shared" si="158"/>
        <v>0</v>
      </c>
      <c r="AJ75" s="943">
        <f t="shared" si="175"/>
        <v>0</v>
      </c>
      <c r="AK75" s="909"/>
      <c r="AL75" s="1153"/>
      <c r="AM75" s="1153"/>
      <c r="AN75" s="909">
        <f t="shared" si="159"/>
        <v>0</v>
      </c>
      <c r="AO75" s="943">
        <f t="shared" si="176"/>
        <v>0</v>
      </c>
      <c r="AP75" s="909"/>
      <c r="AQ75" s="909"/>
      <c r="AR75" s="909"/>
      <c r="AS75" s="909">
        <f t="shared" si="160"/>
        <v>0</v>
      </c>
      <c r="AT75" s="943">
        <f t="shared" si="177"/>
        <v>0</v>
      </c>
      <c r="AU75" s="909"/>
      <c r="AV75" s="1153"/>
      <c r="AW75" s="1153"/>
      <c r="AX75" s="909">
        <f t="shared" si="161"/>
        <v>0</v>
      </c>
      <c r="AY75" s="943">
        <f t="shared" si="178"/>
        <v>0</v>
      </c>
      <c r="AZ75" s="909"/>
      <c r="BA75" s="909">
        <v>0</v>
      </c>
      <c r="BB75" s="909"/>
      <c r="BC75" s="909">
        <f t="shared" si="162"/>
        <v>0</v>
      </c>
      <c r="BD75" s="943">
        <f t="shared" si="179"/>
        <v>0</v>
      </c>
      <c r="BE75" s="1160">
        <f t="shared" si="180"/>
        <v>0</v>
      </c>
      <c r="BF75" s="1160">
        <f t="shared" si="163"/>
        <v>0</v>
      </c>
      <c r="BG75" s="1160">
        <f t="shared" si="164"/>
        <v>0</v>
      </c>
      <c r="BH75" s="916">
        <f t="shared" si="181"/>
        <v>0</v>
      </c>
      <c r="BI75" s="916">
        <f t="shared" si="181"/>
        <v>0</v>
      </c>
      <c r="BJ75" s="909"/>
      <c r="BK75" s="1153"/>
      <c r="BL75" s="1153"/>
      <c r="BM75" s="909">
        <f t="shared" si="165"/>
        <v>0</v>
      </c>
      <c r="BN75" s="943"/>
      <c r="BO75" s="909"/>
      <c r="BP75" s="1153"/>
      <c r="BQ75" s="1153"/>
      <c r="BR75" s="909">
        <f t="shared" si="166"/>
        <v>0</v>
      </c>
      <c r="BS75" s="943">
        <f t="shared" si="193"/>
        <v>0</v>
      </c>
      <c r="BT75" s="909"/>
      <c r="BU75" s="1153"/>
      <c r="BV75" s="1153"/>
      <c r="BW75" s="909">
        <f t="shared" si="167"/>
        <v>0</v>
      </c>
      <c r="BX75" s="943"/>
      <c r="BY75" s="909"/>
      <c r="BZ75" s="1153"/>
      <c r="CA75" s="1153"/>
      <c r="CB75" s="909">
        <f t="shared" si="168"/>
        <v>0</v>
      </c>
      <c r="CC75" s="943"/>
      <c r="CD75" s="909"/>
      <c r="CE75" s="1153"/>
      <c r="CF75" s="1153"/>
      <c r="CG75" s="909">
        <f t="shared" si="169"/>
        <v>0</v>
      </c>
      <c r="CH75" s="943">
        <f t="shared" si="182"/>
        <v>0</v>
      </c>
      <c r="CI75" s="909"/>
      <c r="CJ75" s="1153"/>
      <c r="CK75" s="1153"/>
      <c r="CL75" s="909">
        <f t="shared" si="170"/>
        <v>0</v>
      </c>
      <c r="CM75" s="943"/>
      <c r="CN75" s="909"/>
      <c r="CO75" s="1153"/>
      <c r="CP75" s="1153"/>
      <c r="CQ75" s="909">
        <f t="shared" si="171"/>
        <v>0</v>
      </c>
      <c r="CR75" s="943">
        <f t="shared" si="183"/>
        <v>0</v>
      </c>
      <c r="CS75" s="909"/>
      <c r="CT75" s="1153"/>
      <c r="CU75" s="1153"/>
      <c r="CV75" s="909">
        <f t="shared" si="172"/>
        <v>0</v>
      </c>
      <c r="CW75" s="943">
        <f t="shared" si="184"/>
        <v>0</v>
      </c>
      <c r="CX75" s="943"/>
      <c r="CY75" s="943"/>
      <c r="CZ75" s="943"/>
      <c r="DA75" s="943">
        <v>0</v>
      </c>
      <c r="DB75" s="943"/>
      <c r="DC75" s="1160">
        <f t="shared" si="185"/>
        <v>0</v>
      </c>
      <c r="DD75" s="1160">
        <f t="shared" si="186"/>
        <v>0</v>
      </c>
      <c r="DE75" s="1160">
        <f t="shared" si="187"/>
        <v>0</v>
      </c>
      <c r="DF75" s="916">
        <f t="shared" si="188"/>
        <v>0</v>
      </c>
      <c r="DG75" s="916">
        <v>0</v>
      </c>
      <c r="DH75" s="916"/>
      <c r="DI75" s="909"/>
      <c r="DJ75" s="909"/>
      <c r="DK75" s="909">
        <f t="shared" si="173"/>
        <v>0</v>
      </c>
      <c r="DL75" s="943"/>
      <c r="DM75" s="1141">
        <f t="shared" si="189"/>
        <v>0</v>
      </c>
      <c r="DN75" s="1141">
        <f t="shared" si="190"/>
        <v>0</v>
      </c>
      <c r="DO75" s="1141">
        <f t="shared" si="191"/>
        <v>0</v>
      </c>
      <c r="DP75" s="916">
        <f t="shared" si="192"/>
        <v>0</v>
      </c>
      <c r="DQ75" s="916">
        <f t="shared" si="192"/>
        <v>0</v>
      </c>
      <c r="DR75" s="451"/>
      <c r="DS75" s="451"/>
      <c r="DT75" s="919"/>
      <c r="DU75" s="919"/>
      <c r="DV75" s="919"/>
    </row>
    <row r="76" spans="1:126" ht="15" customHeight="1">
      <c r="A76" s="1161" t="s">
        <v>754</v>
      </c>
      <c r="B76" s="1154">
        <f t="shared" ref="B76:AG76" si="194">SUM(B62:B75)</f>
        <v>0</v>
      </c>
      <c r="C76" s="1154">
        <f t="shared" si="194"/>
        <v>0</v>
      </c>
      <c r="D76" s="1154">
        <f t="shared" si="194"/>
        <v>0</v>
      </c>
      <c r="E76" s="1154">
        <f t="shared" si="194"/>
        <v>0</v>
      </c>
      <c r="F76" s="1154">
        <f t="shared" si="194"/>
        <v>0</v>
      </c>
      <c r="G76" s="1154">
        <f t="shared" si="194"/>
        <v>432448000</v>
      </c>
      <c r="H76" s="1154">
        <f t="shared" si="194"/>
        <v>432448000</v>
      </c>
      <c r="I76" s="1154">
        <f t="shared" si="194"/>
        <v>0</v>
      </c>
      <c r="J76" s="1155">
        <f t="shared" si="194"/>
        <v>442058812</v>
      </c>
      <c r="K76" s="1154">
        <f t="shared" si="194"/>
        <v>424978456</v>
      </c>
      <c r="L76" s="1154">
        <f t="shared" si="194"/>
        <v>0</v>
      </c>
      <c r="M76" s="1154">
        <f t="shared" si="194"/>
        <v>0</v>
      </c>
      <c r="N76" s="1154">
        <f t="shared" si="194"/>
        <v>0</v>
      </c>
      <c r="O76" s="1154">
        <f t="shared" si="194"/>
        <v>0</v>
      </c>
      <c r="P76" s="1154">
        <f t="shared" si="194"/>
        <v>0</v>
      </c>
      <c r="Q76" s="1154">
        <f t="shared" si="194"/>
        <v>0</v>
      </c>
      <c r="R76" s="1154">
        <f t="shared" si="194"/>
        <v>0</v>
      </c>
      <c r="S76" s="1154">
        <f t="shared" si="194"/>
        <v>0</v>
      </c>
      <c r="T76" s="1154">
        <f t="shared" si="194"/>
        <v>0</v>
      </c>
      <c r="U76" s="1154">
        <f t="shared" si="194"/>
        <v>0</v>
      </c>
      <c r="V76" s="1154">
        <f t="shared" si="194"/>
        <v>0</v>
      </c>
      <c r="W76" s="1154">
        <f t="shared" si="194"/>
        <v>0</v>
      </c>
      <c r="X76" s="1154">
        <f t="shared" si="194"/>
        <v>0</v>
      </c>
      <c r="Y76" s="1154">
        <f t="shared" si="194"/>
        <v>0</v>
      </c>
      <c r="Z76" s="1154">
        <f t="shared" si="194"/>
        <v>0</v>
      </c>
      <c r="AA76" s="1154">
        <f t="shared" si="194"/>
        <v>0</v>
      </c>
      <c r="AB76" s="1154">
        <f t="shared" si="194"/>
        <v>0</v>
      </c>
      <c r="AC76" s="1154">
        <f t="shared" si="194"/>
        <v>0</v>
      </c>
      <c r="AD76" s="1154">
        <f t="shared" si="194"/>
        <v>0</v>
      </c>
      <c r="AE76" s="1154">
        <f t="shared" si="194"/>
        <v>0</v>
      </c>
      <c r="AF76" s="1154">
        <f t="shared" si="194"/>
        <v>0</v>
      </c>
      <c r="AG76" s="1154">
        <f t="shared" si="194"/>
        <v>0</v>
      </c>
      <c r="AH76" s="1154">
        <f t="shared" ref="AH76:BM76" si="195">SUM(AH62:AH75)</f>
        <v>0</v>
      </c>
      <c r="AI76" s="1154">
        <f t="shared" si="195"/>
        <v>0</v>
      </c>
      <c r="AJ76" s="1154">
        <f t="shared" si="195"/>
        <v>0</v>
      </c>
      <c r="AK76" s="1154">
        <f t="shared" si="195"/>
        <v>0</v>
      </c>
      <c r="AL76" s="1154">
        <f t="shared" si="195"/>
        <v>0</v>
      </c>
      <c r="AM76" s="1154">
        <f t="shared" si="195"/>
        <v>0</v>
      </c>
      <c r="AN76" s="1154">
        <f t="shared" si="195"/>
        <v>0</v>
      </c>
      <c r="AO76" s="1154">
        <f t="shared" si="195"/>
        <v>0</v>
      </c>
      <c r="AP76" s="1154">
        <f t="shared" si="195"/>
        <v>0</v>
      </c>
      <c r="AQ76" s="1154">
        <f t="shared" si="195"/>
        <v>0</v>
      </c>
      <c r="AR76" s="1154">
        <f t="shared" si="195"/>
        <v>0</v>
      </c>
      <c r="AS76" s="1154">
        <f t="shared" si="195"/>
        <v>0</v>
      </c>
      <c r="AT76" s="1154">
        <f t="shared" si="195"/>
        <v>0</v>
      </c>
      <c r="AU76" s="1154">
        <f t="shared" si="195"/>
        <v>0</v>
      </c>
      <c r="AV76" s="1154">
        <f t="shared" si="195"/>
        <v>0</v>
      </c>
      <c r="AW76" s="1154">
        <f t="shared" si="195"/>
        <v>0</v>
      </c>
      <c r="AX76" s="1154">
        <f t="shared" si="195"/>
        <v>0</v>
      </c>
      <c r="AY76" s="1154">
        <f t="shared" si="195"/>
        <v>0</v>
      </c>
      <c r="AZ76" s="1154">
        <f t="shared" si="195"/>
        <v>0</v>
      </c>
      <c r="BA76" s="1154">
        <f t="shared" si="195"/>
        <v>0</v>
      </c>
      <c r="BB76" s="1154">
        <f t="shared" si="195"/>
        <v>0</v>
      </c>
      <c r="BC76" s="1154">
        <f t="shared" si="195"/>
        <v>0</v>
      </c>
      <c r="BD76" s="1154">
        <f t="shared" si="195"/>
        <v>0</v>
      </c>
      <c r="BE76" s="1154">
        <f t="shared" si="195"/>
        <v>432448000</v>
      </c>
      <c r="BF76" s="1155">
        <f t="shared" si="195"/>
        <v>432448000</v>
      </c>
      <c r="BG76" s="1155">
        <f t="shared" si="195"/>
        <v>0</v>
      </c>
      <c r="BH76" s="1155">
        <f t="shared" si="195"/>
        <v>442058812</v>
      </c>
      <c r="BI76" s="1155">
        <f t="shared" si="195"/>
        <v>424978456</v>
      </c>
      <c r="BJ76" s="1154">
        <f t="shared" si="195"/>
        <v>0</v>
      </c>
      <c r="BK76" s="1154">
        <f t="shared" si="195"/>
        <v>0</v>
      </c>
      <c r="BL76" s="1154">
        <f t="shared" si="195"/>
        <v>0</v>
      </c>
      <c r="BM76" s="1154">
        <f t="shared" si="195"/>
        <v>0</v>
      </c>
      <c r="BN76" s="1154">
        <f t="shared" ref="BN76:CS76" si="196">SUM(BN62:BN75)</f>
        <v>0</v>
      </c>
      <c r="BO76" s="1154">
        <f t="shared" si="196"/>
        <v>0</v>
      </c>
      <c r="BP76" s="1154">
        <f t="shared" si="196"/>
        <v>0</v>
      </c>
      <c r="BQ76" s="1154">
        <f t="shared" si="196"/>
        <v>5671681</v>
      </c>
      <c r="BR76" s="1154">
        <f t="shared" si="196"/>
        <v>5671681</v>
      </c>
      <c r="BS76" s="1154">
        <f t="shared" si="196"/>
        <v>5671681</v>
      </c>
      <c r="BT76" s="1154">
        <f t="shared" si="196"/>
        <v>62335000</v>
      </c>
      <c r="BU76" s="1154">
        <f t="shared" si="196"/>
        <v>62335000</v>
      </c>
      <c r="BV76" s="1154">
        <f t="shared" si="196"/>
        <v>-1083334</v>
      </c>
      <c r="BW76" s="1154">
        <f t="shared" si="196"/>
        <v>61251666</v>
      </c>
      <c r="BX76" s="1154">
        <f t="shared" si="196"/>
        <v>61251666</v>
      </c>
      <c r="BY76" s="1154">
        <f t="shared" si="196"/>
        <v>0</v>
      </c>
      <c r="BZ76" s="1154">
        <f t="shared" si="196"/>
        <v>0</v>
      </c>
      <c r="CA76" s="1154">
        <f t="shared" si="196"/>
        <v>0</v>
      </c>
      <c r="CB76" s="1154">
        <f t="shared" si="196"/>
        <v>0</v>
      </c>
      <c r="CC76" s="1154">
        <f t="shared" si="196"/>
        <v>0</v>
      </c>
      <c r="CD76" s="1154">
        <f t="shared" si="196"/>
        <v>0</v>
      </c>
      <c r="CE76" s="1154">
        <f t="shared" si="196"/>
        <v>0</v>
      </c>
      <c r="CF76" s="1154">
        <f t="shared" si="196"/>
        <v>0</v>
      </c>
      <c r="CG76" s="1154">
        <f t="shared" si="196"/>
        <v>0</v>
      </c>
      <c r="CH76" s="1154">
        <f t="shared" si="196"/>
        <v>0</v>
      </c>
      <c r="CI76" s="1154">
        <f t="shared" si="196"/>
        <v>0</v>
      </c>
      <c r="CJ76" s="1154">
        <f t="shared" si="196"/>
        <v>0</v>
      </c>
      <c r="CK76" s="1154">
        <f t="shared" si="196"/>
        <v>0</v>
      </c>
      <c r="CL76" s="1154">
        <f t="shared" si="196"/>
        <v>0</v>
      </c>
      <c r="CM76" s="1154">
        <f t="shared" si="196"/>
        <v>0</v>
      </c>
      <c r="CN76" s="1154">
        <f t="shared" si="196"/>
        <v>0</v>
      </c>
      <c r="CO76" s="1154">
        <f t="shared" si="196"/>
        <v>0</v>
      </c>
      <c r="CP76" s="1154">
        <f t="shared" si="196"/>
        <v>0</v>
      </c>
      <c r="CQ76" s="1154">
        <f t="shared" si="196"/>
        <v>0</v>
      </c>
      <c r="CR76" s="1154">
        <f t="shared" si="196"/>
        <v>0</v>
      </c>
      <c r="CS76" s="1154">
        <f t="shared" si="196"/>
        <v>0</v>
      </c>
      <c r="CT76" s="1154">
        <f>SUM(CT62:CT75)</f>
        <v>0</v>
      </c>
      <c r="CU76" s="1154">
        <f>SUM(CU62:CU75)</f>
        <v>0</v>
      </c>
      <c r="CV76" s="1154">
        <f>SUM(CV62:CV75)</f>
        <v>0</v>
      </c>
      <c r="CW76" s="1154">
        <f>SUM(CW62:CW75)</f>
        <v>0</v>
      </c>
      <c r="CX76" s="1154"/>
      <c r="CY76" s="1154"/>
      <c r="CZ76" s="1154"/>
      <c r="DA76" s="1155">
        <f>SUM(DA62:DA75)</f>
        <v>0</v>
      </c>
      <c r="DB76" s="1155"/>
      <c r="DC76" s="1155">
        <f t="shared" ref="DC76:DQ76" si="197">SUM(DC62:DC75)</f>
        <v>62335000</v>
      </c>
      <c r="DD76" s="1155">
        <f t="shared" si="197"/>
        <v>62335000</v>
      </c>
      <c r="DE76" s="1155">
        <f t="shared" si="197"/>
        <v>4588347</v>
      </c>
      <c r="DF76" s="1155">
        <f t="shared" si="197"/>
        <v>66923347</v>
      </c>
      <c r="DG76" s="1155">
        <f t="shared" si="197"/>
        <v>66923347</v>
      </c>
      <c r="DH76" s="1154">
        <f t="shared" si="197"/>
        <v>0</v>
      </c>
      <c r="DI76" s="1154">
        <f t="shared" si="197"/>
        <v>0</v>
      </c>
      <c r="DJ76" s="1154">
        <f t="shared" si="197"/>
        <v>0</v>
      </c>
      <c r="DK76" s="1154">
        <f t="shared" si="197"/>
        <v>0</v>
      </c>
      <c r="DL76" s="1154">
        <f t="shared" si="197"/>
        <v>0</v>
      </c>
      <c r="DM76" s="1155">
        <f t="shared" si="197"/>
        <v>494783000</v>
      </c>
      <c r="DN76" s="1155">
        <f t="shared" si="197"/>
        <v>494783000</v>
      </c>
      <c r="DO76" s="1155">
        <f t="shared" si="197"/>
        <v>4588347</v>
      </c>
      <c r="DP76" s="1155">
        <f t="shared" si="197"/>
        <v>508982159</v>
      </c>
      <c r="DQ76" s="1155">
        <f t="shared" si="197"/>
        <v>491901803</v>
      </c>
      <c r="DR76" s="451"/>
      <c r="DS76" s="451"/>
      <c r="DT76" s="919"/>
      <c r="DU76" s="919"/>
      <c r="DV76" s="919"/>
    </row>
    <row r="77" spans="1:126" ht="15" customHeight="1">
      <c r="A77" s="634" t="s">
        <v>755</v>
      </c>
      <c r="C77" s="1152"/>
      <c r="D77" s="1152"/>
      <c r="E77" s="914">
        <f t="shared" ref="E77:E84" si="198">SUM(C77+D77)</f>
        <v>0</v>
      </c>
      <c r="F77" s="943"/>
      <c r="G77" s="914">
        <v>286000000</v>
      </c>
      <c r="H77" s="1152">
        <v>286000000</v>
      </c>
      <c r="I77" s="1152"/>
      <c r="J77" s="914">
        <f t="shared" ref="J77:J84" si="199">SUM(H77+I77)</f>
        <v>286000000</v>
      </c>
      <c r="K77" s="943">
        <v>262829855</v>
      </c>
      <c r="L77" s="1152"/>
      <c r="M77" s="1152"/>
      <c r="N77" s="1152"/>
      <c r="O77" s="914">
        <f t="shared" ref="O77:O84" si="200">SUM(M77+N77)</f>
        <v>0</v>
      </c>
      <c r="P77" s="943"/>
      <c r="Q77" s="914"/>
      <c r="R77" s="1152"/>
      <c r="S77" s="1152"/>
      <c r="T77" s="914">
        <f t="shared" ref="T77:T84" si="201">SUM(R77+S77)</f>
        <v>0</v>
      </c>
      <c r="U77" s="943"/>
      <c r="V77" s="914"/>
      <c r="W77" s="914"/>
      <c r="X77" s="1152"/>
      <c r="Y77" s="914">
        <f t="shared" ref="Y77:Y84" si="202">SUM(W77+X77)</f>
        <v>0</v>
      </c>
      <c r="Z77" s="943"/>
      <c r="AA77" s="914"/>
      <c r="AB77" s="1152"/>
      <c r="AC77" s="1152"/>
      <c r="AD77" s="914">
        <f t="shared" ref="AD77:AD84" si="203">SUM(AB77+AC77)</f>
        <v>0</v>
      </c>
      <c r="AE77" s="943">
        <f t="shared" ref="AE77:AE84" si="204">AB77-AA77</f>
        <v>0</v>
      </c>
      <c r="AF77" s="914"/>
      <c r="AG77" s="1152"/>
      <c r="AH77" s="1152"/>
      <c r="AI77" s="914">
        <f t="shared" ref="AI77:AI84" si="205">SUM(AG77+AH77)</f>
        <v>0</v>
      </c>
      <c r="AJ77" s="943">
        <f t="shared" ref="AJ77:AJ84" si="206">AG77-AF77</f>
        <v>0</v>
      </c>
      <c r="AK77" s="914"/>
      <c r="AL77" s="1152"/>
      <c r="AM77" s="1152"/>
      <c r="AN77" s="914">
        <f t="shared" ref="AN77:AN84" si="207">SUM(AL77+AM77)</f>
        <v>0</v>
      </c>
      <c r="AO77" s="943">
        <f t="shared" ref="AO77:AO84" si="208">AL77-AK77</f>
        <v>0</v>
      </c>
      <c r="AP77" s="914"/>
      <c r="AQ77" s="914"/>
      <c r="AR77" s="914"/>
      <c r="AS77" s="914">
        <f t="shared" ref="AS77:AS84" si="209">SUM(AQ77+AR77)</f>
        <v>0</v>
      </c>
      <c r="AT77" s="943">
        <f t="shared" ref="AT77:AT84" si="210">AQ77-AP77</f>
        <v>0</v>
      </c>
      <c r="AU77" s="914"/>
      <c r="AV77" s="1152"/>
      <c r="AW77" s="1152"/>
      <c r="AX77" s="914">
        <f t="shared" ref="AX77:AX84" si="211">SUM(AV77+AW77)</f>
        <v>0</v>
      </c>
      <c r="AY77" s="943">
        <f t="shared" ref="AY77:AY84" si="212">AV77-AU77</f>
        <v>0</v>
      </c>
      <c r="AZ77" s="914"/>
      <c r="BA77" s="914"/>
      <c r="BB77" s="914"/>
      <c r="BC77" s="914">
        <f t="shared" ref="BC77:BC84" si="213">SUM(BA77+BB77)</f>
        <v>0</v>
      </c>
      <c r="BD77" s="943">
        <f t="shared" ref="BD77:BD84" si="214">BA77-AZ77</f>
        <v>0</v>
      </c>
      <c r="BE77" s="1160">
        <f t="shared" ref="BE77:BI84" si="215">B77+G77+L77+Q77+V77+AA77+AF77+AK77+AP77+AU77+AZ77</f>
        <v>286000000</v>
      </c>
      <c r="BF77" s="1160">
        <f t="shared" si="215"/>
        <v>286000000</v>
      </c>
      <c r="BG77" s="1160">
        <f t="shared" si="215"/>
        <v>0</v>
      </c>
      <c r="BH77" s="915">
        <f t="shared" si="215"/>
        <v>286000000</v>
      </c>
      <c r="BI77" s="915">
        <f t="shared" si="215"/>
        <v>262829855</v>
      </c>
      <c r="BJ77" s="914"/>
      <c r="BK77" s="1152"/>
      <c r="BL77" s="1152"/>
      <c r="BM77" s="914">
        <f t="shared" ref="BM77:BM84" si="216">SUM(BK77+BL77)</f>
        <v>0</v>
      </c>
      <c r="BN77" s="943"/>
      <c r="BO77" s="914"/>
      <c r="BP77" s="1152"/>
      <c r="BQ77" s="1152"/>
      <c r="BR77" s="914">
        <f t="shared" ref="BR77:BR84" si="217">SUM(BP77+BQ77)</f>
        <v>0</v>
      </c>
      <c r="BS77" s="943">
        <f t="shared" ref="BS77:BS84" si="218">BP77-BO77</f>
        <v>0</v>
      </c>
      <c r="BT77" s="914"/>
      <c r="BU77" s="1152"/>
      <c r="BV77" s="1152"/>
      <c r="BW77" s="914">
        <f t="shared" ref="BW77:BW84" si="219">SUM(BU77+BV77)</f>
        <v>0</v>
      </c>
      <c r="BX77" s="943"/>
      <c r="BY77" s="914"/>
      <c r="BZ77" s="1152"/>
      <c r="CA77" s="1152"/>
      <c r="CB77" s="914">
        <f t="shared" ref="CB77:CB84" si="220">SUM(BZ77+CA77)</f>
        <v>0</v>
      </c>
      <c r="CC77" s="943"/>
      <c r="CD77" s="914"/>
      <c r="CE77" s="1152"/>
      <c r="CF77" s="1152"/>
      <c r="CG77" s="914">
        <f t="shared" ref="CG77:CG84" si="221">SUM(CE77+CF77)</f>
        <v>0</v>
      </c>
      <c r="CH77" s="943">
        <f t="shared" ref="CH77:CH84" si="222">CE77-CD77</f>
        <v>0</v>
      </c>
      <c r="CI77" s="914"/>
      <c r="CJ77" s="1152"/>
      <c r="CK77" s="1152"/>
      <c r="CL77" s="914">
        <f t="shared" ref="CL77:CL84" si="223">SUM(CJ77+CK77)</f>
        <v>0</v>
      </c>
      <c r="CM77" s="943"/>
      <c r="CN77" s="914"/>
      <c r="CO77" s="1152"/>
      <c r="CP77" s="1152"/>
      <c r="CQ77" s="914">
        <f t="shared" ref="CQ77:CQ84" si="224">SUM(CO77+CP77)</f>
        <v>0</v>
      </c>
      <c r="CR77" s="943">
        <f t="shared" ref="CR77:CR84" si="225">CO77-CN77</f>
        <v>0</v>
      </c>
      <c r="CS77" s="914"/>
      <c r="CT77" s="1152"/>
      <c r="CU77" s="1152"/>
      <c r="CV77" s="914">
        <f t="shared" ref="CV77:CV84" si="226">SUM(CT77+CU77)</f>
        <v>0</v>
      </c>
      <c r="CW77" s="943">
        <f t="shared" ref="CW77:CW84" si="227">CT77-CS77</f>
        <v>0</v>
      </c>
      <c r="CX77" s="943"/>
      <c r="CY77" s="943"/>
      <c r="CZ77" s="943"/>
      <c r="DA77" s="943"/>
      <c r="DB77" s="943"/>
      <c r="DC77" s="1160">
        <f t="shared" ref="DC77:DG84" si="228">BJ77+BO77+BT77+BY77+CD77+CI77+CN77+CS77</f>
        <v>0</v>
      </c>
      <c r="DD77" s="1160">
        <f t="shared" si="228"/>
        <v>0</v>
      </c>
      <c r="DE77" s="1659">
        <f t="shared" si="228"/>
        <v>0</v>
      </c>
      <c r="DF77" s="915">
        <f t="shared" si="228"/>
        <v>0</v>
      </c>
      <c r="DG77" s="915">
        <f t="shared" si="228"/>
        <v>0</v>
      </c>
      <c r="DH77" s="915"/>
      <c r="DI77" s="914"/>
      <c r="DJ77" s="914"/>
      <c r="DK77" s="914">
        <f t="shared" ref="DK77:DK84" si="229">SUM(DI77:DJ77)</f>
        <v>0</v>
      </c>
      <c r="DL77" s="943"/>
      <c r="DM77" s="1141">
        <f t="shared" ref="DM77:DQ84" si="230">BE77+DC77+DH77</f>
        <v>286000000</v>
      </c>
      <c r="DN77" s="1141">
        <f t="shared" si="230"/>
        <v>286000000</v>
      </c>
      <c r="DO77" s="1141">
        <f t="shared" si="230"/>
        <v>0</v>
      </c>
      <c r="DP77" s="915">
        <f t="shared" si="230"/>
        <v>286000000</v>
      </c>
      <c r="DQ77" s="915">
        <f t="shared" si="230"/>
        <v>262829855</v>
      </c>
      <c r="DR77" s="451"/>
      <c r="DS77" s="451"/>
      <c r="DT77" s="919"/>
      <c r="DU77" s="919"/>
      <c r="DV77" s="919"/>
    </row>
    <row r="78" spans="1:126" ht="15" hidden="1" customHeight="1">
      <c r="A78" s="634" t="s">
        <v>756</v>
      </c>
      <c r="C78" s="1153"/>
      <c r="D78" s="1153"/>
      <c r="E78" s="909">
        <f t="shared" si="198"/>
        <v>0</v>
      </c>
      <c r="F78" s="943"/>
      <c r="G78" s="909"/>
      <c r="H78" s="1153"/>
      <c r="I78" s="1153"/>
      <c r="J78" s="909">
        <f t="shared" si="199"/>
        <v>0</v>
      </c>
      <c r="K78" s="943"/>
      <c r="L78" s="909"/>
      <c r="M78" s="1153"/>
      <c r="N78" s="1153"/>
      <c r="O78" s="909">
        <f t="shared" si="200"/>
        <v>0</v>
      </c>
      <c r="P78" s="943"/>
      <c r="Q78" s="909"/>
      <c r="R78" s="1153"/>
      <c r="S78" s="1153"/>
      <c r="T78" s="914">
        <f t="shared" si="201"/>
        <v>0</v>
      </c>
      <c r="U78" s="943"/>
      <c r="V78" s="914"/>
      <c r="W78" s="914"/>
      <c r="X78" s="1153"/>
      <c r="Y78" s="914">
        <f t="shared" si="202"/>
        <v>0</v>
      </c>
      <c r="Z78" s="943"/>
      <c r="AA78" s="914"/>
      <c r="AB78" s="1153"/>
      <c r="AC78" s="1153"/>
      <c r="AD78" s="914">
        <f t="shared" si="203"/>
        <v>0</v>
      </c>
      <c r="AE78" s="943">
        <f t="shared" si="204"/>
        <v>0</v>
      </c>
      <c r="AF78" s="914"/>
      <c r="AG78" s="1153"/>
      <c r="AH78" s="1153"/>
      <c r="AI78" s="914">
        <f t="shared" si="205"/>
        <v>0</v>
      </c>
      <c r="AJ78" s="943">
        <f t="shared" si="206"/>
        <v>0</v>
      </c>
      <c r="AK78" s="914"/>
      <c r="AL78" s="1153"/>
      <c r="AM78" s="1153"/>
      <c r="AN78" s="909">
        <f t="shared" si="207"/>
        <v>0</v>
      </c>
      <c r="AO78" s="943">
        <f t="shared" si="208"/>
        <v>0</v>
      </c>
      <c r="AP78" s="909"/>
      <c r="AQ78" s="909"/>
      <c r="AR78" s="909"/>
      <c r="AS78" s="914">
        <f t="shared" si="209"/>
        <v>0</v>
      </c>
      <c r="AT78" s="943">
        <f t="shared" si="210"/>
        <v>0</v>
      </c>
      <c r="AU78" s="914"/>
      <c r="AV78" s="1153"/>
      <c r="AW78" s="1153"/>
      <c r="AX78" s="914">
        <f t="shared" si="211"/>
        <v>0</v>
      </c>
      <c r="AY78" s="943">
        <f t="shared" si="212"/>
        <v>0</v>
      </c>
      <c r="AZ78" s="914"/>
      <c r="BA78" s="909"/>
      <c r="BB78" s="909"/>
      <c r="BC78" s="914">
        <f t="shared" si="213"/>
        <v>0</v>
      </c>
      <c r="BD78" s="943">
        <f t="shared" si="214"/>
        <v>0</v>
      </c>
      <c r="BE78" s="1160">
        <f t="shared" si="215"/>
        <v>0</v>
      </c>
      <c r="BF78" s="1160">
        <f t="shared" si="215"/>
        <v>0</v>
      </c>
      <c r="BG78" s="1160">
        <f t="shared" si="215"/>
        <v>0</v>
      </c>
      <c r="BH78" s="916">
        <f t="shared" si="215"/>
        <v>0</v>
      </c>
      <c r="BI78" s="915">
        <f t="shared" si="215"/>
        <v>0</v>
      </c>
      <c r="BJ78" s="909"/>
      <c r="BK78" s="1153"/>
      <c r="BL78" s="1153"/>
      <c r="BM78" s="909">
        <f t="shared" si="216"/>
        <v>0</v>
      </c>
      <c r="BN78" s="943"/>
      <c r="BO78" s="909"/>
      <c r="BP78" s="1153"/>
      <c r="BQ78" s="1153"/>
      <c r="BR78" s="909">
        <f t="shared" si="217"/>
        <v>0</v>
      </c>
      <c r="BS78" s="943">
        <f t="shared" si="218"/>
        <v>0</v>
      </c>
      <c r="BT78" s="909"/>
      <c r="BU78" s="1153"/>
      <c r="BV78" s="1153"/>
      <c r="BW78" s="909">
        <f t="shared" si="219"/>
        <v>0</v>
      </c>
      <c r="BX78" s="943"/>
      <c r="BY78" s="909"/>
      <c r="BZ78" s="1153"/>
      <c r="CA78" s="1153"/>
      <c r="CB78" s="909">
        <f t="shared" si="220"/>
        <v>0</v>
      </c>
      <c r="CC78" s="943"/>
      <c r="CD78" s="909"/>
      <c r="CE78" s="1153"/>
      <c r="CF78" s="1153"/>
      <c r="CG78" s="909">
        <f t="shared" si="221"/>
        <v>0</v>
      </c>
      <c r="CH78" s="943">
        <f t="shared" si="222"/>
        <v>0</v>
      </c>
      <c r="CI78" s="909"/>
      <c r="CJ78" s="1153"/>
      <c r="CK78" s="1153"/>
      <c r="CL78" s="909">
        <f t="shared" si="223"/>
        <v>0</v>
      </c>
      <c r="CM78" s="943"/>
      <c r="CN78" s="909"/>
      <c r="CO78" s="1153"/>
      <c r="CP78" s="1153"/>
      <c r="CQ78" s="909">
        <f t="shared" si="224"/>
        <v>0</v>
      </c>
      <c r="CR78" s="943">
        <f t="shared" si="225"/>
        <v>0</v>
      </c>
      <c r="CS78" s="909"/>
      <c r="CT78" s="1153"/>
      <c r="CU78" s="1153"/>
      <c r="CV78" s="909">
        <f t="shared" si="226"/>
        <v>0</v>
      </c>
      <c r="CW78" s="943">
        <f t="shared" si="227"/>
        <v>0</v>
      </c>
      <c r="CX78" s="943"/>
      <c r="CY78" s="943"/>
      <c r="CZ78" s="943"/>
      <c r="DA78" s="943"/>
      <c r="DB78" s="943"/>
      <c r="DC78" s="1160">
        <f t="shared" si="228"/>
        <v>0</v>
      </c>
      <c r="DD78" s="1160">
        <f t="shared" si="228"/>
        <v>0</v>
      </c>
      <c r="DE78" s="1160">
        <f t="shared" si="228"/>
        <v>0</v>
      </c>
      <c r="DF78" s="916">
        <f t="shared" si="228"/>
        <v>0</v>
      </c>
      <c r="DG78" s="915">
        <f t="shared" si="228"/>
        <v>0</v>
      </c>
      <c r="DH78" s="916"/>
      <c r="DI78" s="909"/>
      <c r="DJ78" s="909"/>
      <c r="DK78" s="909">
        <f t="shared" si="229"/>
        <v>0</v>
      </c>
      <c r="DL78" s="943"/>
      <c r="DM78" s="1141">
        <f t="shared" si="230"/>
        <v>0</v>
      </c>
      <c r="DN78" s="1141">
        <f t="shared" si="230"/>
        <v>0</v>
      </c>
      <c r="DO78" s="1141">
        <f t="shared" si="230"/>
        <v>0</v>
      </c>
      <c r="DP78" s="916">
        <f t="shared" si="230"/>
        <v>0</v>
      </c>
      <c r="DQ78" s="915">
        <f t="shared" si="230"/>
        <v>0</v>
      </c>
      <c r="DR78" s="451"/>
      <c r="DS78" s="451"/>
      <c r="DT78" s="919"/>
      <c r="DU78" s="919"/>
      <c r="DV78" s="919"/>
    </row>
    <row r="79" spans="1:126" ht="15" customHeight="1">
      <c r="A79" s="634" t="s">
        <v>757</v>
      </c>
      <c r="C79" s="1153"/>
      <c r="D79" s="1153"/>
      <c r="E79" s="909">
        <f t="shared" si="198"/>
        <v>0</v>
      </c>
      <c r="F79" s="943"/>
      <c r="G79" s="909"/>
      <c r="H79" s="1153"/>
      <c r="I79" s="1153"/>
      <c r="J79" s="909">
        <f t="shared" si="199"/>
        <v>0</v>
      </c>
      <c r="K79" s="943"/>
      <c r="L79" s="909"/>
      <c r="M79" s="1153"/>
      <c r="N79" s="1153"/>
      <c r="O79" s="909">
        <f t="shared" si="200"/>
        <v>0</v>
      </c>
      <c r="P79" s="943"/>
      <c r="Q79" s="909"/>
      <c r="R79" s="1153"/>
      <c r="S79" s="1153"/>
      <c r="T79" s="914">
        <f t="shared" si="201"/>
        <v>0</v>
      </c>
      <c r="U79" s="943"/>
      <c r="V79" s="914"/>
      <c r="W79" s="914"/>
      <c r="X79" s="1153"/>
      <c r="Y79" s="914">
        <f t="shared" si="202"/>
        <v>0</v>
      </c>
      <c r="Z79" s="943"/>
      <c r="AA79" s="914"/>
      <c r="AB79" s="1153"/>
      <c r="AC79" s="1153"/>
      <c r="AD79" s="914">
        <f t="shared" si="203"/>
        <v>0</v>
      </c>
      <c r="AE79" s="943">
        <f t="shared" si="204"/>
        <v>0</v>
      </c>
      <c r="AF79" s="914"/>
      <c r="AG79" s="1153"/>
      <c r="AH79" s="1153"/>
      <c r="AI79" s="914">
        <f t="shared" si="205"/>
        <v>0</v>
      </c>
      <c r="AJ79" s="943">
        <f t="shared" si="206"/>
        <v>0</v>
      </c>
      <c r="AK79" s="914"/>
      <c r="AL79" s="1153"/>
      <c r="AM79" s="1153"/>
      <c r="AN79" s="909">
        <f t="shared" si="207"/>
        <v>0</v>
      </c>
      <c r="AO79" s="943">
        <f t="shared" si="208"/>
        <v>0</v>
      </c>
      <c r="AP79" s="909"/>
      <c r="AQ79" s="909"/>
      <c r="AR79" s="909"/>
      <c r="AS79" s="914">
        <f t="shared" si="209"/>
        <v>0</v>
      </c>
      <c r="AT79" s="943">
        <f t="shared" si="210"/>
        <v>0</v>
      </c>
      <c r="AU79" s="914"/>
      <c r="AV79" s="1153"/>
      <c r="AW79" s="1153"/>
      <c r="AX79" s="914">
        <f t="shared" si="211"/>
        <v>0</v>
      </c>
      <c r="AY79" s="943">
        <f t="shared" si="212"/>
        <v>0</v>
      </c>
      <c r="AZ79" s="914"/>
      <c r="BA79" s="909"/>
      <c r="BB79" s="909"/>
      <c r="BC79" s="914">
        <f t="shared" si="213"/>
        <v>0</v>
      </c>
      <c r="BD79" s="943">
        <f t="shared" si="214"/>
        <v>0</v>
      </c>
      <c r="BE79" s="1160">
        <f t="shared" si="215"/>
        <v>0</v>
      </c>
      <c r="BF79" s="1160">
        <f t="shared" si="215"/>
        <v>0</v>
      </c>
      <c r="BG79" s="1160">
        <f t="shared" si="215"/>
        <v>0</v>
      </c>
      <c r="BH79" s="916">
        <f t="shared" si="215"/>
        <v>0</v>
      </c>
      <c r="BI79" s="915">
        <f t="shared" si="215"/>
        <v>0</v>
      </c>
      <c r="BJ79" s="909"/>
      <c r="BK79" s="1153"/>
      <c r="BL79" s="1153"/>
      <c r="BM79" s="909">
        <f t="shared" si="216"/>
        <v>0</v>
      </c>
      <c r="BN79" s="943"/>
      <c r="BO79" s="909"/>
      <c r="BP79" s="1153"/>
      <c r="BQ79" s="1153"/>
      <c r="BR79" s="909">
        <f t="shared" si="217"/>
        <v>0</v>
      </c>
      <c r="BS79" s="943">
        <f t="shared" si="218"/>
        <v>0</v>
      </c>
      <c r="BT79" s="909"/>
      <c r="BU79" s="1153"/>
      <c r="BV79" s="1153"/>
      <c r="BW79" s="909">
        <f t="shared" si="219"/>
        <v>0</v>
      </c>
      <c r="BX79" s="943"/>
      <c r="BY79" s="909"/>
      <c r="BZ79" s="1153"/>
      <c r="CA79" s="1153"/>
      <c r="CB79" s="909">
        <f t="shared" si="220"/>
        <v>0</v>
      </c>
      <c r="CC79" s="943"/>
      <c r="CD79" s="909"/>
      <c r="CE79" s="1153"/>
      <c r="CF79" s="1153"/>
      <c r="CG79" s="909">
        <f t="shared" si="221"/>
        <v>0</v>
      </c>
      <c r="CH79" s="943">
        <f t="shared" si="222"/>
        <v>0</v>
      </c>
      <c r="CI79" s="909"/>
      <c r="CJ79" s="1153"/>
      <c r="CK79" s="1153"/>
      <c r="CL79" s="909">
        <f t="shared" si="223"/>
        <v>0</v>
      </c>
      <c r="CM79" s="943"/>
      <c r="CN79" s="909"/>
      <c r="CO79" s="1153"/>
      <c r="CP79" s="1153"/>
      <c r="CQ79" s="909">
        <f t="shared" si="224"/>
        <v>0</v>
      </c>
      <c r="CR79" s="943">
        <f t="shared" si="225"/>
        <v>0</v>
      </c>
      <c r="CS79" s="909"/>
      <c r="CT79" s="1153"/>
      <c r="CU79" s="1153"/>
      <c r="CV79" s="909">
        <f t="shared" si="226"/>
        <v>0</v>
      </c>
      <c r="CW79" s="943">
        <f t="shared" si="227"/>
        <v>0</v>
      </c>
      <c r="CX79" s="943"/>
      <c r="CY79" s="943"/>
      <c r="CZ79" s="943"/>
      <c r="DA79" s="943"/>
      <c r="DB79" s="943"/>
      <c r="DC79" s="1160">
        <f t="shared" si="228"/>
        <v>0</v>
      </c>
      <c r="DD79" s="1160">
        <f t="shared" si="228"/>
        <v>0</v>
      </c>
      <c r="DE79" s="1160">
        <f t="shared" si="228"/>
        <v>0</v>
      </c>
      <c r="DF79" s="916">
        <f t="shared" si="228"/>
        <v>0</v>
      </c>
      <c r="DG79" s="915">
        <f t="shared" si="228"/>
        <v>0</v>
      </c>
      <c r="DH79" s="916"/>
      <c r="DI79" s="909"/>
      <c r="DJ79" s="909"/>
      <c r="DK79" s="909">
        <f t="shared" si="229"/>
        <v>0</v>
      </c>
      <c r="DL79" s="943"/>
      <c r="DM79" s="1141">
        <f t="shared" si="230"/>
        <v>0</v>
      </c>
      <c r="DN79" s="1141">
        <f t="shared" si="230"/>
        <v>0</v>
      </c>
      <c r="DO79" s="1141">
        <f t="shared" si="230"/>
        <v>0</v>
      </c>
      <c r="DP79" s="916">
        <f t="shared" si="230"/>
        <v>0</v>
      </c>
      <c r="DQ79" s="915">
        <f t="shared" si="230"/>
        <v>0</v>
      </c>
      <c r="DR79" s="451"/>
      <c r="DS79" s="451"/>
      <c r="DT79" s="919"/>
      <c r="DU79" s="919"/>
      <c r="DV79" s="919"/>
    </row>
    <row r="80" spans="1:126" ht="15" customHeight="1">
      <c r="A80" s="634" t="s">
        <v>758</v>
      </c>
      <c r="C80" s="1153"/>
      <c r="D80" s="1153"/>
      <c r="E80" s="909">
        <f t="shared" si="198"/>
        <v>0</v>
      </c>
      <c r="F80" s="943"/>
      <c r="G80" s="909"/>
      <c r="H80" s="1153"/>
      <c r="I80" s="1153"/>
      <c r="J80" s="909">
        <f t="shared" si="199"/>
        <v>0</v>
      </c>
      <c r="K80" s="943"/>
      <c r="L80" s="909"/>
      <c r="M80" s="1153"/>
      <c r="N80" s="1153"/>
      <c r="O80" s="909">
        <f t="shared" si="200"/>
        <v>0</v>
      </c>
      <c r="P80" s="943"/>
      <c r="Q80" s="909"/>
      <c r="R80" s="1153"/>
      <c r="S80" s="1153"/>
      <c r="T80" s="914">
        <f t="shared" si="201"/>
        <v>0</v>
      </c>
      <c r="U80" s="943"/>
      <c r="V80" s="914"/>
      <c r="W80" s="914"/>
      <c r="X80" s="1153"/>
      <c r="Y80" s="914">
        <f t="shared" si="202"/>
        <v>0</v>
      </c>
      <c r="Z80" s="943"/>
      <c r="AA80" s="914"/>
      <c r="AB80" s="1153"/>
      <c r="AC80" s="1153"/>
      <c r="AD80" s="914">
        <f t="shared" si="203"/>
        <v>0</v>
      </c>
      <c r="AE80" s="943">
        <f t="shared" si="204"/>
        <v>0</v>
      </c>
      <c r="AF80" s="914"/>
      <c r="AG80" s="1153"/>
      <c r="AH80" s="1153"/>
      <c r="AI80" s="914">
        <f t="shared" si="205"/>
        <v>0</v>
      </c>
      <c r="AJ80" s="943">
        <f t="shared" si="206"/>
        <v>0</v>
      </c>
      <c r="AK80" s="914"/>
      <c r="AL80" s="1153"/>
      <c r="AM80" s="1153"/>
      <c r="AN80" s="909">
        <f t="shared" si="207"/>
        <v>0</v>
      </c>
      <c r="AO80" s="943">
        <f t="shared" si="208"/>
        <v>0</v>
      </c>
      <c r="AP80" s="909"/>
      <c r="AQ80" s="909"/>
      <c r="AR80" s="909"/>
      <c r="AS80" s="914">
        <f t="shared" si="209"/>
        <v>0</v>
      </c>
      <c r="AT80" s="943">
        <f t="shared" si="210"/>
        <v>0</v>
      </c>
      <c r="AU80" s="914"/>
      <c r="AV80" s="1153"/>
      <c r="AW80" s="1153"/>
      <c r="AX80" s="914">
        <f t="shared" si="211"/>
        <v>0</v>
      </c>
      <c r="AY80" s="943">
        <f t="shared" si="212"/>
        <v>0</v>
      </c>
      <c r="AZ80" s="914"/>
      <c r="BA80" s="909"/>
      <c r="BB80" s="909"/>
      <c r="BC80" s="914">
        <f t="shared" si="213"/>
        <v>0</v>
      </c>
      <c r="BD80" s="943">
        <f t="shared" si="214"/>
        <v>0</v>
      </c>
      <c r="BE80" s="1160">
        <f t="shared" si="215"/>
        <v>0</v>
      </c>
      <c r="BF80" s="1160">
        <f t="shared" si="215"/>
        <v>0</v>
      </c>
      <c r="BG80" s="1160">
        <f t="shared" si="215"/>
        <v>0</v>
      </c>
      <c r="BH80" s="916">
        <f t="shared" si="215"/>
        <v>0</v>
      </c>
      <c r="BI80" s="915">
        <f t="shared" si="215"/>
        <v>0</v>
      </c>
      <c r="BJ80" s="909"/>
      <c r="BK80" s="1153"/>
      <c r="BL80" s="1153"/>
      <c r="BM80" s="909">
        <f t="shared" si="216"/>
        <v>0</v>
      </c>
      <c r="BN80" s="943"/>
      <c r="BO80" s="909"/>
      <c r="BP80" s="1153"/>
      <c r="BQ80" s="1153"/>
      <c r="BR80" s="909">
        <f t="shared" si="217"/>
        <v>0</v>
      </c>
      <c r="BS80" s="943">
        <f t="shared" si="218"/>
        <v>0</v>
      </c>
      <c r="BT80" s="909"/>
      <c r="BU80" s="1153"/>
      <c r="BV80" s="1153"/>
      <c r="BW80" s="909">
        <f t="shared" si="219"/>
        <v>0</v>
      </c>
      <c r="BX80" s="943"/>
      <c r="BY80" s="909"/>
      <c r="BZ80" s="1153"/>
      <c r="CA80" s="1153"/>
      <c r="CB80" s="909">
        <f t="shared" si="220"/>
        <v>0</v>
      </c>
      <c r="CC80" s="943"/>
      <c r="CD80" s="909"/>
      <c r="CE80" s="1153"/>
      <c r="CF80" s="1153"/>
      <c r="CG80" s="909">
        <f t="shared" si="221"/>
        <v>0</v>
      </c>
      <c r="CH80" s="943">
        <f t="shared" si="222"/>
        <v>0</v>
      </c>
      <c r="CI80" s="909"/>
      <c r="CJ80" s="1153"/>
      <c r="CK80" s="1153"/>
      <c r="CL80" s="909">
        <f t="shared" si="223"/>
        <v>0</v>
      </c>
      <c r="CM80" s="943"/>
      <c r="CN80" s="909"/>
      <c r="CO80" s="1153"/>
      <c r="CP80" s="1153"/>
      <c r="CQ80" s="909">
        <f t="shared" si="224"/>
        <v>0</v>
      </c>
      <c r="CR80" s="943">
        <f t="shared" si="225"/>
        <v>0</v>
      </c>
      <c r="CS80" s="909"/>
      <c r="CT80" s="1153"/>
      <c r="CU80" s="1153"/>
      <c r="CV80" s="909">
        <f t="shared" si="226"/>
        <v>0</v>
      </c>
      <c r="CW80" s="943">
        <f t="shared" si="227"/>
        <v>0</v>
      </c>
      <c r="CX80" s="943"/>
      <c r="CY80" s="943"/>
      <c r="CZ80" s="943"/>
      <c r="DA80" s="943"/>
      <c r="DB80" s="943"/>
      <c r="DC80" s="1160">
        <f t="shared" si="228"/>
        <v>0</v>
      </c>
      <c r="DD80" s="1160">
        <f t="shared" si="228"/>
        <v>0</v>
      </c>
      <c r="DE80" s="1160">
        <f t="shared" si="228"/>
        <v>0</v>
      </c>
      <c r="DF80" s="916">
        <f t="shared" si="228"/>
        <v>0</v>
      </c>
      <c r="DG80" s="915">
        <f t="shared" si="228"/>
        <v>0</v>
      </c>
      <c r="DH80" s="916"/>
      <c r="DI80" s="909"/>
      <c r="DJ80" s="909"/>
      <c r="DK80" s="909">
        <f t="shared" si="229"/>
        <v>0</v>
      </c>
      <c r="DL80" s="943"/>
      <c r="DM80" s="1141">
        <f t="shared" si="230"/>
        <v>0</v>
      </c>
      <c r="DN80" s="1141">
        <f t="shared" si="230"/>
        <v>0</v>
      </c>
      <c r="DO80" s="1141">
        <f t="shared" si="230"/>
        <v>0</v>
      </c>
      <c r="DP80" s="916">
        <f t="shared" si="230"/>
        <v>0</v>
      </c>
      <c r="DQ80" s="915">
        <f t="shared" si="230"/>
        <v>0</v>
      </c>
      <c r="DR80" s="451"/>
      <c r="DS80" s="451"/>
      <c r="DT80" s="919"/>
      <c r="DU80" s="919"/>
      <c r="DV80" s="919"/>
    </row>
    <row r="81" spans="1:126" ht="15" customHeight="1">
      <c r="A81" s="634" t="s">
        <v>759</v>
      </c>
      <c r="C81" s="1153"/>
      <c r="D81" s="1153"/>
      <c r="E81" s="909">
        <f t="shared" si="198"/>
        <v>0</v>
      </c>
      <c r="F81" s="943"/>
      <c r="G81" s="909"/>
      <c r="H81" s="1153"/>
      <c r="I81" s="1153"/>
      <c r="J81" s="909">
        <f t="shared" si="199"/>
        <v>0</v>
      </c>
      <c r="K81" s="943"/>
      <c r="L81" s="909"/>
      <c r="M81" s="1153"/>
      <c r="N81" s="1153"/>
      <c r="O81" s="909">
        <f t="shared" si="200"/>
        <v>0</v>
      </c>
      <c r="P81" s="943"/>
      <c r="Q81" s="909"/>
      <c r="R81" s="1153"/>
      <c r="S81" s="1153"/>
      <c r="T81" s="914">
        <f t="shared" si="201"/>
        <v>0</v>
      </c>
      <c r="U81" s="943"/>
      <c r="V81" s="914"/>
      <c r="W81" s="914"/>
      <c r="X81" s="1153"/>
      <c r="Y81" s="914">
        <f t="shared" si="202"/>
        <v>0</v>
      </c>
      <c r="Z81" s="943"/>
      <c r="AA81" s="914"/>
      <c r="AB81" s="1153"/>
      <c r="AC81" s="1153"/>
      <c r="AD81" s="914">
        <f t="shared" si="203"/>
        <v>0</v>
      </c>
      <c r="AE81" s="943">
        <f t="shared" si="204"/>
        <v>0</v>
      </c>
      <c r="AF81" s="1153"/>
      <c r="AG81" s="1153"/>
      <c r="AH81" s="1153"/>
      <c r="AI81" s="914">
        <f t="shared" si="205"/>
        <v>0</v>
      </c>
      <c r="AJ81" s="943">
        <f t="shared" si="206"/>
        <v>0</v>
      </c>
      <c r="AK81" s="914"/>
      <c r="AL81" s="1153"/>
      <c r="AM81" s="1153"/>
      <c r="AN81" s="909">
        <f t="shared" si="207"/>
        <v>0</v>
      </c>
      <c r="AO81" s="943">
        <f t="shared" si="208"/>
        <v>0</v>
      </c>
      <c r="AP81" s="909"/>
      <c r="AQ81" s="909"/>
      <c r="AR81" s="909"/>
      <c r="AS81" s="909">
        <f t="shared" si="209"/>
        <v>0</v>
      </c>
      <c r="AT81" s="943">
        <f t="shared" si="210"/>
        <v>0</v>
      </c>
      <c r="AU81" s="909"/>
      <c r="AV81" s="1153"/>
      <c r="AW81" s="1153"/>
      <c r="AX81" s="914">
        <f t="shared" si="211"/>
        <v>0</v>
      </c>
      <c r="AY81" s="943">
        <f t="shared" si="212"/>
        <v>0</v>
      </c>
      <c r="AZ81" s="914"/>
      <c r="BA81" s="909"/>
      <c r="BB81" s="909"/>
      <c r="BC81" s="914">
        <f t="shared" si="213"/>
        <v>0</v>
      </c>
      <c r="BD81" s="943">
        <f t="shared" si="214"/>
        <v>0</v>
      </c>
      <c r="BE81" s="1160">
        <f t="shared" si="215"/>
        <v>0</v>
      </c>
      <c r="BF81" s="1160">
        <f t="shared" si="215"/>
        <v>0</v>
      </c>
      <c r="BG81" s="1160">
        <f t="shared" si="215"/>
        <v>0</v>
      </c>
      <c r="BH81" s="916">
        <f t="shared" si="215"/>
        <v>0</v>
      </c>
      <c r="BI81" s="915">
        <f t="shared" si="215"/>
        <v>0</v>
      </c>
      <c r="BJ81" s="909"/>
      <c r="BK81" s="1153"/>
      <c r="BL81" s="1153"/>
      <c r="BM81" s="909">
        <f t="shared" si="216"/>
        <v>0</v>
      </c>
      <c r="BN81" s="943"/>
      <c r="BO81" s="909"/>
      <c r="BP81" s="1153"/>
      <c r="BQ81" s="1153"/>
      <c r="BR81" s="909">
        <f t="shared" si="217"/>
        <v>0</v>
      </c>
      <c r="BS81" s="943">
        <f t="shared" si="218"/>
        <v>0</v>
      </c>
      <c r="BT81" s="909">
        <v>5120000</v>
      </c>
      <c r="BU81" s="1153">
        <v>5120000</v>
      </c>
      <c r="BV81" s="1153"/>
      <c r="BW81" s="909">
        <f t="shared" si="219"/>
        <v>5120000</v>
      </c>
      <c r="BX81" s="943">
        <v>5120000</v>
      </c>
      <c r="BY81" s="909"/>
      <c r="BZ81" s="1153"/>
      <c r="CA81" s="1153"/>
      <c r="CB81" s="909">
        <f t="shared" si="220"/>
        <v>0</v>
      </c>
      <c r="CC81" s="943"/>
      <c r="CD81" s="909"/>
      <c r="CE81" s="1153"/>
      <c r="CF81" s="1153"/>
      <c r="CG81" s="909">
        <f t="shared" si="221"/>
        <v>0</v>
      </c>
      <c r="CH81" s="943">
        <f t="shared" si="222"/>
        <v>0</v>
      </c>
      <c r="CI81" s="909"/>
      <c r="CJ81" s="1153"/>
      <c r="CK81" s="1153"/>
      <c r="CL81" s="909">
        <f t="shared" si="223"/>
        <v>0</v>
      </c>
      <c r="CM81" s="943"/>
      <c r="CN81" s="909"/>
      <c r="CO81" s="1153"/>
      <c r="CP81" s="1153"/>
      <c r="CQ81" s="909">
        <f t="shared" si="224"/>
        <v>0</v>
      </c>
      <c r="CR81" s="943">
        <f t="shared" si="225"/>
        <v>0</v>
      </c>
      <c r="CS81" s="909"/>
      <c r="CT81" s="1153"/>
      <c r="CU81" s="1153"/>
      <c r="CV81" s="909">
        <f t="shared" si="226"/>
        <v>0</v>
      </c>
      <c r="CW81" s="943">
        <f t="shared" si="227"/>
        <v>0</v>
      </c>
      <c r="CX81" s="943"/>
      <c r="CY81" s="943"/>
      <c r="CZ81" s="943"/>
      <c r="DA81" s="943">
        <v>4000000</v>
      </c>
      <c r="DB81" s="943">
        <v>4000000</v>
      </c>
      <c r="DC81" s="1160">
        <f t="shared" ref="DC81:DE84" si="231">BJ81+BO81+BT81+BY81+CD81+CI81+CN81+CS81</f>
        <v>5120000</v>
      </c>
      <c r="DD81" s="1160">
        <f t="shared" si="231"/>
        <v>5120000</v>
      </c>
      <c r="DE81" s="1160">
        <f t="shared" si="231"/>
        <v>0</v>
      </c>
      <c r="DF81" s="916">
        <v>9120000</v>
      </c>
      <c r="DG81" s="915">
        <f>BN81+BS81+BX81+CC81+CH81+CM81+CR81+CW81+DB81</f>
        <v>9120000</v>
      </c>
      <c r="DH81" s="916"/>
      <c r="DI81" s="909"/>
      <c r="DJ81" s="909"/>
      <c r="DK81" s="909">
        <f t="shared" si="229"/>
        <v>0</v>
      </c>
      <c r="DL81" s="943"/>
      <c r="DM81" s="1141">
        <f t="shared" si="230"/>
        <v>5120000</v>
      </c>
      <c r="DN81" s="1141">
        <f t="shared" si="230"/>
        <v>5120000</v>
      </c>
      <c r="DO81" s="1141">
        <f t="shared" si="230"/>
        <v>0</v>
      </c>
      <c r="DP81" s="916">
        <f>BH81+DF81+DK81</f>
        <v>9120000</v>
      </c>
      <c r="DQ81" s="916">
        <f t="shared" si="230"/>
        <v>9120000</v>
      </c>
      <c r="DR81" s="451"/>
      <c r="DS81" s="451"/>
      <c r="DT81" s="919"/>
      <c r="DU81" s="919"/>
      <c r="DV81" s="919"/>
    </row>
    <row r="82" spans="1:126" ht="15" customHeight="1">
      <c r="A82" s="634" t="s">
        <v>760</v>
      </c>
      <c r="C82" s="1153"/>
      <c r="D82" s="1153"/>
      <c r="E82" s="909">
        <f t="shared" si="198"/>
        <v>0</v>
      </c>
      <c r="F82" s="943"/>
      <c r="G82" s="909"/>
      <c r="H82" s="1153"/>
      <c r="I82" s="1153"/>
      <c r="J82" s="909">
        <f t="shared" si="199"/>
        <v>0</v>
      </c>
      <c r="K82" s="943"/>
      <c r="L82" s="909"/>
      <c r="M82" s="1153"/>
      <c r="N82" s="1153"/>
      <c r="O82" s="909">
        <f t="shared" si="200"/>
        <v>0</v>
      </c>
      <c r="P82" s="943"/>
      <c r="Q82" s="909"/>
      <c r="R82" s="1153"/>
      <c r="S82" s="1153"/>
      <c r="T82" s="914">
        <f t="shared" si="201"/>
        <v>0</v>
      </c>
      <c r="U82" s="943"/>
      <c r="V82" s="914"/>
      <c r="W82" s="914"/>
      <c r="X82" s="1153"/>
      <c r="Y82" s="914">
        <f t="shared" si="202"/>
        <v>0</v>
      </c>
      <c r="Z82" s="943"/>
      <c r="AA82" s="914"/>
      <c r="AB82" s="1153"/>
      <c r="AC82" s="1153"/>
      <c r="AD82" s="914">
        <f t="shared" si="203"/>
        <v>0</v>
      </c>
      <c r="AE82" s="943">
        <f t="shared" si="204"/>
        <v>0</v>
      </c>
      <c r="AF82" s="914"/>
      <c r="AG82" s="1153"/>
      <c r="AH82" s="1153"/>
      <c r="AI82" s="914">
        <f t="shared" si="205"/>
        <v>0</v>
      </c>
      <c r="AJ82" s="943">
        <f t="shared" si="206"/>
        <v>0</v>
      </c>
      <c r="AK82" s="914"/>
      <c r="AL82" s="1153"/>
      <c r="AM82" s="1153"/>
      <c r="AN82" s="909">
        <f t="shared" si="207"/>
        <v>0</v>
      </c>
      <c r="AO82" s="943">
        <f t="shared" si="208"/>
        <v>0</v>
      </c>
      <c r="AP82" s="909"/>
      <c r="AQ82" s="909"/>
      <c r="AR82" s="909"/>
      <c r="AS82" s="909">
        <f t="shared" si="209"/>
        <v>0</v>
      </c>
      <c r="AT82" s="943">
        <f t="shared" si="210"/>
        <v>0</v>
      </c>
      <c r="AU82" s="909"/>
      <c r="AV82" s="1153"/>
      <c r="AW82" s="1153"/>
      <c r="AX82" s="914">
        <f t="shared" si="211"/>
        <v>0</v>
      </c>
      <c r="AY82" s="943">
        <f t="shared" si="212"/>
        <v>0</v>
      </c>
      <c r="AZ82" s="914"/>
      <c r="BA82" s="909"/>
      <c r="BB82" s="909"/>
      <c r="BC82" s="914">
        <f t="shared" si="213"/>
        <v>0</v>
      </c>
      <c r="BD82" s="943">
        <f t="shared" si="214"/>
        <v>0</v>
      </c>
      <c r="BE82" s="1160">
        <f t="shared" si="215"/>
        <v>0</v>
      </c>
      <c r="BF82" s="1160">
        <f t="shared" si="215"/>
        <v>0</v>
      </c>
      <c r="BG82" s="1160">
        <f t="shared" si="215"/>
        <v>0</v>
      </c>
      <c r="BH82" s="916">
        <f t="shared" si="215"/>
        <v>0</v>
      </c>
      <c r="BI82" s="915">
        <f t="shared" si="215"/>
        <v>0</v>
      </c>
      <c r="BJ82" s="909"/>
      <c r="BK82" s="1153"/>
      <c r="BL82" s="1153"/>
      <c r="BM82" s="909">
        <f t="shared" si="216"/>
        <v>0</v>
      </c>
      <c r="BN82" s="943"/>
      <c r="BO82" s="909"/>
      <c r="BP82" s="1153"/>
      <c r="BQ82" s="1153"/>
      <c r="BR82" s="909">
        <f t="shared" si="217"/>
        <v>0</v>
      </c>
      <c r="BS82" s="943">
        <f t="shared" si="218"/>
        <v>0</v>
      </c>
      <c r="BT82" s="909"/>
      <c r="BU82" s="1153"/>
      <c r="BV82" s="1153"/>
      <c r="BW82" s="909">
        <f t="shared" si="219"/>
        <v>0</v>
      </c>
      <c r="BX82" s="943"/>
      <c r="BY82" s="909"/>
      <c r="BZ82" s="1153"/>
      <c r="CA82" s="1153"/>
      <c r="CB82" s="909">
        <f t="shared" si="220"/>
        <v>0</v>
      </c>
      <c r="CC82" s="943"/>
      <c r="CD82" s="909"/>
      <c r="CE82" s="1153"/>
      <c r="CF82" s="1153"/>
      <c r="CG82" s="909">
        <f t="shared" si="221"/>
        <v>0</v>
      </c>
      <c r="CH82" s="943">
        <f t="shared" si="222"/>
        <v>0</v>
      </c>
      <c r="CI82" s="909"/>
      <c r="CJ82" s="1153"/>
      <c r="CK82" s="1153"/>
      <c r="CL82" s="909">
        <f t="shared" si="223"/>
        <v>0</v>
      </c>
      <c r="CM82" s="943"/>
      <c r="CN82" s="909"/>
      <c r="CO82" s="1153"/>
      <c r="CP82" s="1153"/>
      <c r="CQ82" s="909">
        <f t="shared" si="224"/>
        <v>0</v>
      </c>
      <c r="CR82" s="943">
        <f t="shared" si="225"/>
        <v>0</v>
      </c>
      <c r="CS82" s="909"/>
      <c r="CT82" s="1153"/>
      <c r="CU82" s="1153"/>
      <c r="CV82" s="909">
        <f t="shared" si="226"/>
        <v>0</v>
      </c>
      <c r="CW82" s="943">
        <f t="shared" si="227"/>
        <v>0</v>
      </c>
      <c r="CX82" s="943"/>
      <c r="CY82" s="943"/>
      <c r="CZ82" s="943"/>
      <c r="DA82" s="943"/>
      <c r="DB82" s="943"/>
      <c r="DC82" s="1160">
        <f t="shared" si="231"/>
        <v>0</v>
      </c>
      <c r="DD82" s="1160">
        <f t="shared" si="231"/>
        <v>0</v>
      </c>
      <c r="DE82" s="1160">
        <f t="shared" si="231"/>
        <v>0</v>
      </c>
      <c r="DF82" s="916">
        <f t="shared" ref="DF82:DF84" si="232">BM82+BR82+BW82+CB82+CG82+CL82+CQ82+CV82</f>
        <v>0</v>
      </c>
      <c r="DG82" s="915">
        <f t="shared" si="228"/>
        <v>0</v>
      </c>
      <c r="DH82" s="916"/>
      <c r="DI82" s="909"/>
      <c r="DJ82" s="909"/>
      <c r="DK82" s="909">
        <f t="shared" si="229"/>
        <v>0</v>
      </c>
      <c r="DL82" s="943"/>
      <c r="DM82" s="1141">
        <f t="shared" si="230"/>
        <v>0</v>
      </c>
      <c r="DN82" s="1141">
        <f t="shared" si="230"/>
        <v>0</v>
      </c>
      <c r="DO82" s="1141">
        <f t="shared" si="230"/>
        <v>0</v>
      </c>
      <c r="DP82" s="916">
        <f t="shared" si="230"/>
        <v>0</v>
      </c>
      <c r="DQ82" s="915">
        <f t="shared" si="230"/>
        <v>0</v>
      </c>
      <c r="DR82" s="451"/>
      <c r="DS82" s="451"/>
      <c r="DT82" s="919"/>
      <c r="DU82" s="919"/>
      <c r="DV82" s="919"/>
    </row>
    <row r="83" spans="1:126" ht="15" customHeight="1">
      <c r="A83" s="634" t="s">
        <v>761</v>
      </c>
      <c r="C83" s="1153"/>
      <c r="D83" s="1153"/>
      <c r="E83" s="909">
        <f t="shared" si="198"/>
        <v>0</v>
      </c>
      <c r="F83" s="943"/>
      <c r="G83" s="909"/>
      <c r="H83" s="1153"/>
      <c r="I83" s="1153"/>
      <c r="J83" s="909">
        <f t="shared" si="199"/>
        <v>0</v>
      </c>
      <c r="K83" s="943"/>
      <c r="L83" s="909"/>
      <c r="M83" s="1153"/>
      <c r="N83" s="1153"/>
      <c r="O83" s="909">
        <f t="shared" si="200"/>
        <v>0</v>
      </c>
      <c r="P83" s="943"/>
      <c r="Q83" s="909"/>
      <c r="R83" s="1153"/>
      <c r="S83" s="1153"/>
      <c r="T83" s="914">
        <f t="shared" si="201"/>
        <v>0</v>
      </c>
      <c r="U83" s="943"/>
      <c r="V83" s="914"/>
      <c r="W83" s="914"/>
      <c r="X83" s="1153"/>
      <c r="Y83" s="914">
        <f t="shared" si="202"/>
        <v>0</v>
      </c>
      <c r="Z83" s="943"/>
      <c r="AA83" s="914"/>
      <c r="AB83" s="1153"/>
      <c r="AC83" s="1153"/>
      <c r="AD83" s="914">
        <f t="shared" si="203"/>
        <v>0</v>
      </c>
      <c r="AE83" s="943">
        <f t="shared" si="204"/>
        <v>0</v>
      </c>
      <c r="AF83" s="914"/>
      <c r="AG83" s="1153"/>
      <c r="AH83" s="1153"/>
      <c r="AI83" s="914">
        <f t="shared" si="205"/>
        <v>0</v>
      </c>
      <c r="AJ83" s="943">
        <f t="shared" si="206"/>
        <v>0</v>
      </c>
      <c r="AK83" s="914"/>
      <c r="AL83" s="1153"/>
      <c r="AM83" s="1153"/>
      <c r="AN83" s="909">
        <f t="shared" si="207"/>
        <v>0</v>
      </c>
      <c r="AO83" s="943">
        <f t="shared" si="208"/>
        <v>0</v>
      </c>
      <c r="AP83" s="909"/>
      <c r="AQ83" s="909"/>
      <c r="AR83" s="909"/>
      <c r="AS83" s="909">
        <f t="shared" si="209"/>
        <v>0</v>
      </c>
      <c r="AT83" s="943">
        <f t="shared" si="210"/>
        <v>0</v>
      </c>
      <c r="AU83" s="909"/>
      <c r="AV83" s="1153"/>
      <c r="AW83" s="1153"/>
      <c r="AX83" s="914">
        <f t="shared" si="211"/>
        <v>0</v>
      </c>
      <c r="AY83" s="943">
        <f t="shared" si="212"/>
        <v>0</v>
      </c>
      <c r="AZ83" s="914"/>
      <c r="BA83" s="909"/>
      <c r="BB83" s="909"/>
      <c r="BC83" s="914">
        <f t="shared" si="213"/>
        <v>0</v>
      </c>
      <c r="BD83" s="943">
        <f t="shared" si="214"/>
        <v>0</v>
      </c>
      <c r="BE83" s="1160">
        <f t="shared" si="215"/>
        <v>0</v>
      </c>
      <c r="BF83" s="1160">
        <f t="shared" si="215"/>
        <v>0</v>
      </c>
      <c r="BG83" s="1160">
        <f t="shared" si="215"/>
        <v>0</v>
      </c>
      <c r="BH83" s="916">
        <f t="shared" si="215"/>
        <v>0</v>
      </c>
      <c r="BI83" s="915">
        <f t="shared" si="215"/>
        <v>0</v>
      </c>
      <c r="BJ83" s="909"/>
      <c r="BK83" s="1153"/>
      <c r="BL83" s="1153"/>
      <c r="BM83" s="909">
        <f t="shared" si="216"/>
        <v>0</v>
      </c>
      <c r="BN83" s="943"/>
      <c r="BO83" s="909"/>
      <c r="BP83" s="1153"/>
      <c r="BQ83" s="1153"/>
      <c r="BR83" s="909">
        <f t="shared" si="217"/>
        <v>0</v>
      </c>
      <c r="BS83" s="943">
        <f t="shared" si="218"/>
        <v>0</v>
      </c>
      <c r="BT83" s="909"/>
      <c r="BU83" s="1153"/>
      <c r="BV83" s="1153"/>
      <c r="BW83" s="909">
        <f t="shared" si="219"/>
        <v>0</v>
      </c>
      <c r="BX83" s="943"/>
      <c r="BY83" s="909"/>
      <c r="BZ83" s="1153"/>
      <c r="CA83" s="1153"/>
      <c r="CB83" s="909">
        <f t="shared" si="220"/>
        <v>0</v>
      </c>
      <c r="CC83" s="943"/>
      <c r="CD83" s="909"/>
      <c r="CE83" s="1153"/>
      <c r="CF83" s="1153"/>
      <c r="CG83" s="909">
        <f t="shared" si="221"/>
        <v>0</v>
      </c>
      <c r="CH83" s="943">
        <f t="shared" si="222"/>
        <v>0</v>
      </c>
      <c r="CI83" s="909"/>
      <c r="CJ83" s="1153"/>
      <c r="CK83" s="1153"/>
      <c r="CL83" s="909">
        <f t="shared" si="223"/>
        <v>0</v>
      </c>
      <c r="CM83" s="943"/>
      <c r="CN83" s="909"/>
      <c r="CO83" s="1153"/>
      <c r="CP83" s="1153"/>
      <c r="CQ83" s="909">
        <f t="shared" si="224"/>
        <v>0</v>
      </c>
      <c r="CR83" s="943">
        <f t="shared" si="225"/>
        <v>0</v>
      </c>
      <c r="CS83" s="909"/>
      <c r="CT83" s="1153"/>
      <c r="CU83" s="1153"/>
      <c r="CV83" s="909">
        <f t="shared" si="226"/>
        <v>0</v>
      </c>
      <c r="CW83" s="943">
        <f t="shared" si="227"/>
        <v>0</v>
      </c>
      <c r="CX83" s="943"/>
      <c r="CY83" s="943"/>
      <c r="CZ83" s="943"/>
      <c r="DA83" s="943"/>
      <c r="DB83" s="943"/>
      <c r="DC83" s="1160">
        <f t="shared" si="231"/>
        <v>0</v>
      </c>
      <c r="DD83" s="1160">
        <f t="shared" si="231"/>
        <v>0</v>
      </c>
      <c r="DE83" s="1160">
        <f t="shared" si="231"/>
        <v>0</v>
      </c>
      <c r="DF83" s="916">
        <f t="shared" si="232"/>
        <v>0</v>
      </c>
      <c r="DG83" s="915">
        <f t="shared" si="228"/>
        <v>0</v>
      </c>
      <c r="DH83" s="916"/>
      <c r="DI83" s="909"/>
      <c r="DJ83" s="909"/>
      <c r="DK83" s="909">
        <f t="shared" si="229"/>
        <v>0</v>
      </c>
      <c r="DL83" s="943"/>
      <c r="DM83" s="1141">
        <f t="shared" si="230"/>
        <v>0</v>
      </c>
      <c r="DN83" s="1141">
        <f t="shared" si="230"/>
        <v>0</v>
      </c>
      <c r="DO83" s="1141">
        <f t="shared" si="230"/>
        <v>0</v>
      </c>
      <c r="DP83" s="916">
        <f t="shared" si="230"/>
        <v>0</v>
      </c>
      <c r="DQ83" s="915">
        <f t="shared" si="230"/>
        <v>0</v>
      </c>
      <c r="DR83" s="1157"/>
      <c r="DS83" s="1157"/>
      <c r="DT83" s="1660"/>
      <c r="DU83" s="919"/>
      <c r="DV83" s="919"/>
    </row>
    <row r="84" spans="1:126" ht="15" customHeight="1">
      <c r="A84" s="634" t="s">
        <v>762</v>
      </c>
      <c r="C84" s="1153"/>
      <c r="D84" s="1153"/>
      <c r="E84" s="909">
        <f t="shared" si="198"/>
        <v>0</v>
      </c>
      <c r="F84" s="943"/>
      <c r="G84" s="909"/>
      <c r="H84" s="1153"/>
      <c r="I84" s="1153"/>
      <c r="J84" s="909">
        <f t="shared" si="199"/>
        <v>0</v>
      </c>
      <c r="K84" s="943"/>
      <c r="L84" s="909"/>
      <c r="M84" s="1153"/>
      <c r="N84" s="1153"/>
      <c r="O84" s="909">
        <f t="shared" si="200"/>
        <v>0</v>
      </c>
      <c r="P84" s="943"/>
      <c r="Q84" s="909"/>
      <c r="R84" s="1153"/>
      <c r="S84" s="1153"/>
      <c r="T84" s="914">
        <f t="shared" si="201"/>
        <v>0</v>
      </c>
      <c r="U84" s="943"/>
      <c r="V84" s="914"/>
      <c r="W84" s="914"/>
      <c r="X84" s="1153"/>
      <c r="Y84" s="914">
        <f t="shared" si="202"/>
        <v>0</v>
      </c>
      <c r="Z84" s="943"/>
      <c r="AA84" s="914"/>
      <c r="AB84" s="1153"/>
      <c r="AC84" s="1153"/>
      <c r="AD84" s="914">
        <f t="shared" si="203"/>
        <v>0</v>
      </c>
      <c r="AE84" s="943">
        <f t="shared" si="204"/>
        <v>0</v>
      </c>
      <c r="AF84" s="914"/>
      <c r="AG84" s="1153"/>
      <c r="AH84" s="1153"/>
      <c r="AI84" s="914">
        <f t="shared" si="205"/>
        <v>0</v>
      </c>
      <c r="AJ84" s="943">
        <f t="shared" si="206"/>
        <v>0</v>
      </c>
      <c r="AK84" s="914"/>
      <c r="AL84" s="1153"/>
      <c r="AM84" s="1153"/>
      <c r="AN84" s="909">
        <f t="shared" si="207"/>
        <v>0</v>
      </c>
      <c r="AO84" s="943">
        <f t="shared" si="208"/>
        <v>0</v>
      </c>
      <c r="AP84" s="909"/>
      <c r="AQ84" s="909"/>
      <c r="AR84" s="909"/>
      <c r="AS84" s="909">
        <f t="shared" si="209"/>
        <v>0</v>
      </c>
      <c r="AT84" s="943">
        <f t="shared" si="210"/>
        <v>0</v>
      </c>
      <c r="AU84" s="909"/>
      <c r="AV84" s="1153"/>
      <c r="AW84" s="1153"/>
      <c r="AX84" s="914">
        <f t="shared" si="211"/>
        <v>0</v>
      </c>
      <c r="AY84" s="943">
        <f t="shared" si="212"/>
        <v>0</v>
      </c>
      <c r="AZ84" s="914"/>
      <c r="BA84" s="909"/>
      <c r="BB84" s="909"/>
      <c r="BC84" s="909">
        <f t="shared" si="213"/>
        <v>0</v>
      </c>
      <c r="BD84" s="943">
        <f t="shared" si="214"/>
        <v>0</v>
      </c>
      <c r="BE84" s="1160">
        <f t="shared" si="215"/>
        <v>0</v>
      </c>
      <c r="BF84" s="1160">
        <f t="shared" si="215"/>
        <v>0</v>
      </c>
      <c r="BG84" s="1160">
        <f t="shared" si="215"/>
        <v>0</v>
      </c>
      <c r="BH84" s="916">
        <f t="shared" si="215"/>
        <v>0</v>
      </c>
      <c r="BI84" s="915">
        <f t="shared" si="215"/>
        <v>0</v>
      </c>
      <c r="BJ84" s="909"/>
      <c r="BK84" s="1153"/>
      <c r="BL84" s="1153"/>
      <c r="BM84" s="909">
        <f t="shared" si="216"/>
        <v>0</v>
      </c>
      <c r="BN84" s="943"/>
      <c r="BO84" s="909"/>
      <c r="BP84" s="1153"/>
      <c r="BQ84" s="1153"/>
      <c r="BR84" s="909">
        <f t="shared" si="217"/>
        <v>0</v>
      </c>
      <c r="BS84" s="943">
        <f t="shared" si="218"/>
        <v>0</v>
      </c>
      <c r="BT84" s="909"/>
      <c r="BU84" s="1153"/>
      <c r="BV84" s="1153"/>
      <c r="BW84" s="909">
        <f t="shared" si="219"/>
        <v>0</v>
      </c>
      <c r="BX84" s="943"/>
      <c r="BY84" s="909"/>
      <c r="BZ84" s="1153"/>
      <c r="CA84" s="1153"/>
      <c r="CB84" s="909">
        <f t="shared" si="220"/>
        <v>0</v>
      </c>
      <c r="CC84" s="943"/>
      <c r="CD84" s="909"/>
      <c r="CE84" s="1153"/>
      <c r="CF84" s="1153"/>
      <c r="CG84" s="909">
        <f t="shared" si="221"/>
        <v>0</v>
      </c>
      <c r="CH84" s="943">
        <f t="shared" si="222"/>
        <v>0</v>
      </c>
      <c r="CI84" s="909"/>
      <c r="CJ84" s="1153"/>
      <c r="CK84" s="1153"/>
      <c r="CL84" s="909">
        <f t="shared" si="223"/>
        <v>0</v>
      </c>
      <c r="CM84" s="943"/>
      <c r="CN84" s="909"/>
      <c r="CO84" s="1153"/>
      <c r="CP84" s="1153"/>
      <c r="CQ84" s="909">
        <f t="shared" si="224"/>
        <v>0</v>
      </c>
      <c r="CR84" s="943">
        <f t="shared" si="225"/>
        <v>0</v>
      </c>
      <c r="CS84" s="909"/>
      <c r="CT84" s="1153"/>
      <c r="CU84" s="1153"/>
      <c r="CV84" s="909">
        <f t="shared" si="226"/>
        <v>0</v>
      </c>
      <c r="CW84" s="943">
        <f t="shared" si="227"/>
        <v>0</v>
      </c>
      <c r="CX84" s="943"/>
      <c r="CY84" s="943"/>
      <c r="CZ84" s="943"/>
      <c r="DA84" s="943"/>
      <c r="DB84" s="943"/>
      <c r="DC84" s="1160">
        <f t="shared" si="231"/>
        <v>0</v>
      </c>
      <c r="DD84" s="1160">
        <f t="shared" si="231"/>
        <v>0</v>
      </c>
      <c r="DE84" s="1160">
        <f t="shared" si="231"/>
        <v>0</v>
      </c>
      <c r="DF84" s="916">
        <f t="shared" si="232"/>
        <v>0</v>
      </c>
      <c r="DG84" s="915">
        <f t="shared" si="228"/>
        <v>0</v>
      </c>
      <c r="DH84" s="916"/>
      <c r="DI84" s="909"/>
      <c r="DJ84" s="909"/>
      <c r="DK84" s="909">
        <f t="shared" si="229"/>
        <v>0</v>
      </c>
      <c r="DL84" s="943"/>
      <c r="DM84" s="1141">
        <f t="shared" si="230"/>
        <v>0</v>
      </c>
      <c r="DN84" s="1141">
        <f t="shared" si="230"/>
        <v>0</v>
      </c>
      <c r="DO84" s="1141">
        <f t="shared" si="230"/>
        <v>0</v>
      </c>
      <c r="DP84" s="916">
        <f t="shared" si="230"/>
        <v>0</v>
      </c>
      <c r="DQ84" s="915">
        <f t="shared" si="230"/>
        <v>0</v>
      </c>
      <c r="DR84" s="451"/>
      <c r="DS84" s="451"/>
      <c r="DT84" s="919"/>
      <c r="DU84" s="919"/>
      <c r="DV84" s="919"/>
    </row>
    <row r="85" spans="1:126" ht="15" customHeight="1">
      <c r="A85" s="1163" t="s">
        <v>763</v>
      </c>
      <c r="B85" s="1154">
        <f t="shared" ref="B85:AG85" si="233">SUM(B77:B84)</f>
        <v>0</v>
      </c>
      <c r="C85" s="1154">
        <f t="shared" si="233"/>
        <v>0</v>
      </c>
      <c r="D85" s="1154">
        <f t="shared" si="233"/>
        <v>0</v>
      </c>
      <c r="E85" s="1154">
        <f t="shared" si="233"/>
        <v>0</v>
      </c>
      <c r="F85" s="1154">
        <f t="shared" si="233"/>
        <v>0</v>
      </c>
      <c r="G85" s="1154">
        <f t="shared" si="233"/>
        <v>286000000</v>
      </c>
      <c r="H85" s="1154">
        <f t="shared" si="233"/>
        <v>286000000</v>
      </c>
      <c r="I85" s="1154">
        <f t="shared" si="233"/>
        <v>0</v>
      </c>
      <c r="J85" s="1154">
        <f t="shared" si="233"/>
        <v>286000000</v>
      </c>
      <c r="K85" s="1154">
        <f t="shared" si="233"/>
        <v>262829855</v>
      </c>
      <c r="L85" s="1154">
        <f t="shared" si="233"/>
        <v>0</v>
      </c>
      <c r="M85" s="1154">
        <f t="shared" si="233"/>
        <v>0</v>
      </c>
      <c r="N85" s="1154">
        <f t="shared" si="233"/>
        <v>0</v>
      </c>
      <c r="O85" s="1154">
        <f t="shared" si="233"/>
        <v>0</v>
      </c>
      <c r="P85" s="1154">
        <f t="shared" si="233"/>
        <v>0</v>
      </c>
      <c r="Q85" s="1154">
        <f t="shared" si="233"/>
        <v>0</v>
      </c>
      <c r="R85" s="1154">
        <f t="shared" si="233"/>
        <v>0</v>
      </c>
      <c r="S85" s="1154">
        <f t="shared" si="233"/>
        <v>0</v>
      </c>
      <c r="T85" s="1154">
        <f t="shared" si="233"/>
        <v>0</v>
      </c>
      <c r="U85" s="1154">
        <f t="shared" si="233"/>
        <v>0</v>
      </c>
      <c r="V85" s="1154">
        <f t="shared" si="233"/>
        <v>0</v>
      </c>
      <c r="W85" s="1154">
        <f t="shared" si="233"/>
        <v>0</v>
      </c>
      <c r="X85" s="1154">
        <f t="shared" si="233"/>
        <v>0</v>
      </c>
      <c r="Y85" s="1154">
        <f t="shared" si="233"/>
        <v>0</v>
      </c>
      <c r="Z85" s="1154">
        <f t="shared" si="233"/>
        <v>0</v>
      </c>
      <c r="AA85" s="1154">
        <f t="shared" si="233"/>
        <v>0</v>
      </c>
      <c r="AB85" s="1154">
        <f t="shared" si="233"/>
        <v>0</v>
      </c>
      <c r="AC85" s="1154">
        <f t="shared" si="233"/>
        <v>0</v>
      </c>
      <c r="AD85" s="1154">
        <f t="shared" si="233"/>
        <v>0</v>
      </c>
      <c r="AE85" s="1154">
        <f t="shared" si="233"/>
        <v>0</v>
      </c>
      <c r="AF85" s="1154">
        <f t="shared" si="233"/>
        <v>0</v>
      </c>
      <c r="AG85" s="1154">
        <f t="shared" si="233"/>
        <v>0</v>
      </c>
      <c r="AH85" s="1154">
        <f t="shared" ref="AH85:BM85" si="234">SUM(AH77:AH84)</f>
        <v>0</v>
      </c>
      <c r="AI85" s="1154">
        <f t="shared" si="234"/>
        <v>0</v>
      </c>
      <c r="AJ85" s="1154">
        <f t="shared" si="234"/>
        <v>0</v>
      </c>
      <c r="AK85" s="1154">
        <f t="shared" si="234"/>
        <v>0</v>
      </c>
      <c r="AL85" s="1154">
        <f t="shared" si="234"/>
        <v>0</v>
      </c>
      <c r="AM85" s="1154">
        <f t="shared" si="234"/>
        <v>0</v>
      </c>
      <c r="AN85" s="1154">
        <f t="shared" si="234"/>
        <v>0</v>
      </c>
      <c r="AO85" s="1154">
        <f t="shared" si="234"/>
        <v>0</v>
      </c>
      <c r="AP85" s="1154">
        <f t="shared" si="234"/>
        <v>0</v>
      </c>
      <c r="AQ85" s="1154">
        <f t="shared" si="234"/>
        <v>0</v>
      </c>
      <c r="AR85" s="1154">
        <f t="shared" si="234"/>
        <v>0</v>
      </c>
      <c r="AS85" s="1154">
        <f t="shared" si="234"/>
        <v>0</v>
      </c>
      <c r="AT85" s="1154">
        <f t="shared" si="234"/>
        <v>0</v>
      </c>
      <c r="AU85" s="1154">
        <f t="shared" si="234"/>
        <v>0</v>
      </c>
      <c r="AV85" s="1154">
        <f t="shared" si="234"/>
        <v>0</v>
      </c>
      <c r="AW85" s="1154">
        <f t="shared" si="234"/>
        <v>0</v>
      </c>
      <c r="AX85" s="1154">
        <f t="shared" si="234"/>
        <v>0</v>
      </c>
      <c r="AY85" s="1154">
        <f t="shared" si="234"/>
        <v>0</v>
      </c>
      <c r="AZ85" s="1154">
        <f t="shared" si="234"/>
        <v>0</v>
      </c>
      <c r="BA85" s="1154">
        <f t="shared" si="234"/>
        <v>0</v>
      </c>
      <c r="BB85" s="1154">
        <f t="shared" si="234"/>
        <v>0</v>
      </c>
      <c r="BC85" s="1154">
        <f t="shared" si="234"/>
        <v>0</v>
      </c>
      <c r="BD85" s="1154">
        <f t="shared" si="234"/>
        <v>0</v>
      </c>
      <c r="BE85" s="1154">
        <f t="shared" si="234"/>
        <v>286000000</v>
      </c>
      <c r="BF85" s="1155">
        <f t="shared" si="234"/>
        <v>286000000</v>
      </c>
      <c r="BG85" s="1155">
        <f t="shared" si="234"/>
        <v>0</v>
      </c>
      <c r="BH85" s="1155">
        <f t="shared" si="234"/>
        <v>286000000</v>
      </c>
      <c r="BI85" s="1155">
        <f t="shared" si="234"/>
        <v>262829855</v>
      </c>
      <c r="BJ85" s="1154">
        <f t="shared" si="234"/>
        <v>0</v>
      </c>
      <c r="BK85" s="1154">
        <f t="shared" si="234"/>
        <v>0</v>
      </c>
      <c r="BL85" s="1154">
        <f t="shared" si="234"/>
        <v>0</v>
      </c>
      <c r="BM85" s="1154">
        <f t="shared" si="234"/>
        <v>0</v>
      </c>
      <c r="BN85" s="1154">
        <f t="shared" ref="BN85:CS85" si="235">SUM(BN77:BN84)</f>
        <v>0</v>
      </c>
      <c r="BO85" s="1154">
        <f t="shared" si="235"/>
        <v>0</v>
      </c>
      <c r="BP85" s="1154">
        <f t="shared" si="235"/>
        <v>0</v>
      </c>
      <c r="BQ85" s="1154">
        <f t="shared" si="235"/>
        <v>0</v>
      </c>
      <c r="BR85" s="1154">
        <f t="shared" si="235"/>
        <v>0</v>
      </c>
      <c r="BS85" s="1154">
        <f t="shared" si="235"/>
        <v>0</v>
      </c>
      <c r="BT85" s="1154">
        <f t="shared" si="235"/>
        <v>5120000</v>
      </c>
      <c r="BU85" s="1154">
        <f t="shared" si="235"/>
        <v>5120000</v>
      </c>
      <c r="BV85" s="1154">
        <f t="shared" si="235"/>
        <v>0</v>
      </c>
      <c r="BW85" s="1154">
        <f t="shared" si="235"/>
        <v>5120000</v>
      </c>
      <c r="BX85" s="1154">
        <f t="shared" si="235"/>
        <v>5120000</v>
      </c>
      <c r="BY85" s="1154">
        <f t="shared" si="235"/>
        <v>0</v>
      </c>
      <c r="BZ85" s="1154">
        <f t="shared" si="235"/>
        <v>0</v>
      </c>
      <c r="CA85" s="1154">
        <f t="shared" si="235"/>
        <v>0</v>
      </c>
      <c r="CB85" s="1154">
        <f t="shared" si="235"/>
        <v>0</v>
      </c>
      <c r="CC85" s="1154">
        <f t="shared" si="235"/>
        <v>0</v>
      </c>
      <c r="CD85" s="1154">
        <f t="shared" si="235"/>
        <v>0</v>
      </c>
      <c r="CE85" s="1154">
        <f t="shared" si="235"/>
        <v>0</v>
      </c>
      <c r="CF85" s="1154">
        <f t="shared" si="235"/>
        <v>0</v>
      </c>
      <c r="CG85" s="1154">
        <f t="shared" si="235"/>
        <v>0</v>
      </c>
      <c r="CH85" s="1154">
        <f t="shared" si="235"/>
        <v>0</v>
      </c>
      <c r="CI85" s="1154">
        <f t="shared" si="235"/>
        <v>0</v>
      </c>
      <c r="CJ85" s="1154">
        <f t="shared" si="235"/>
        <v>0</v>
      </c>
      <c r="CK85" s="1154">
        <f t="shared" si="235"/>
        <v>0</v>
      </c>
      <c r="CL85" s="1154">
        <f t="shared" si="235"/>
        <v>0</v>
      </c>
      <c r="CM85" s="1154">
        <f t="shared" si="235"/>
        <v>0</v>
      </c>
      <c r="CN85" s="1154">
        <f t="shared" si="235"/>
        <v>0</v>
      </c>
      <c r="CO85" s="1154">
        <f t="shared" si="235"/>
        <v>0</v>
      </c>
      <c r="CP85" s="1154">
        <f t="shared" si="235"/>
        <v>0</v>
      </c>
      <c r="CQ85" s="1154">
        <f t="shared" si="235"/>
        <v>0</v>
      </c>
      <c r="CR85" s="1154">
        <f t="shared" si="235"/>
        <v>0</v>
      </c>
      <c r="CS85" s="1154">
        <f t="shared" si="235"/>
        <v>0</v>
      </c>
      <c r="CT85" s="1154">
        <f>SUM(CT77:CT84)</f>
        <v>0</v>
      </c>
      <c r="CU85" s="1154">
        <f>SUM(CU77:CU84)</f>
        <v>0</v>
      </c>
      <c r="CV85" s="1154">
        <f>SUM(CV77:CV84)</f>
        <v>0</v>
      </c>
      <c r="CW85" s="1154">
        <f>SUM(CW77:CW84)</f>
        <v>0</v>
      </c>
      <c r="CX85" s="1154"/>
      <c r="CY85" s="1154"/>
      <c r="CZ85" s="1154"/>
      <c r="DA85" s="1154">
        <f>SUM(DA77:DA84)</f>
        <v>4000000</v>
      </c>
      <c r="DB85" s="1154">
        <f>SUM(DB77:DB84)</f>
        <v>4000000</v>
      </c>
      <c r="DC85" s="1661">
        <f>BJ85+BO85+BT85+BY85+CD85+CI85+CN85++CS85</f>
        <v>5120000</v>
      </c>
      <c r="DD85" s="1155">
        <f t="shared" ref="DD85:DQ85" si="236">SUM(DD77:DD84)</f>
        <v>5120000</v>
      </c>
      <c r="DE85" s="1155">
        <f t="shared" si="236"/>
        <v>0</v>
      </c>
      <c r="DF85" s="1155">
        <f t="shared" si="236"/>
        <v>9120000</v>
      </c>
      <c r="DG85" s="1155">
        <f t="shared" si="236"/>
        <v>9120000</v>
      </c>
      <c r="DH85" s="1154">
        <f t="shared" si="236"/>
        <v>0</v>
      </c>
      <c r="DI85" s="1154">
        <f t="shared" si="236"/>
        <v>0</v>
      </c>
      <c r="DJ85" s="1154">
        <f t="shared" si="236"/>
        <v>0</v>
      </c>
      <c r="DK85" s="1154">
        <f t="shared" si="236"/>
        <v>0</v>
      </c>
      <c r="DL85" s="1154">
        <f t="shared" si="236"/>
        <v>0</v>
      </c>
      <c r="DM85" s="1155">
        <f t="shared" si="236"/>
        <v>291120000</v>
      </c>
      <c r="DN85" s="1155">
        <f t="shared" si="236"/>
        <v>291120000</v>
      </c>
      <c r="DO85" s="1155">
        <f t="shared" si="236"/>
        <v>0</v>
      </c>
      <c r="DP85" s="1155">
        <f t="shared" si="236"/>
        <v>295120000</v>
      </c>
      <c r="DQ85" s="1155">
        <f t="shared" si="236"/>
        <v>271949855</v>
      </c>
    </row>
    <row r="86" spans="1:126" ht="15" customHeight="1">
      <c r="A86" s="1161" t="s">
        <v>764</v>
      </c>
      <c r="B86" s="1155">
        <f t="shared" ref="B86:AG86" si="237">B85+B76</f>
        <v>0</v>
      </c>
      <c r="C86" s="1155">
        <f t="shared" si="237"/>
        <v>0</v>
      </c>
      <c r="D86" s="1155">
        <f t="shared" si="237"/>
        <v>0</v>
      </c>
      <c r="E86" s="1155">
        <f t="shared" si="237"/>
        <v>0</v>
      </c>
      <c r="F86" s="1155">
        <f t="shared" si="237"/>
        <v>0</v>
      </c>
      <c r="G86" s="1155">
        <f t="shared" si="237"/>
        <v>718448000</v>
      </c>
      <c r="H86" s="1155">
        <f t="shared" si="237"/>
        <v>718448000</v>
      </c>
      <c r="I86" s="1155">
        <f t="shared" si="237"/>
        <v>0</v>
      </c>
      <c r="J86" s="1155">
        <f t="shared" si="237"/>
        <v>728058812</v>
      </c>
      <c r="K86" s="1155">
        <f t="shared" si="237"/>
        <v>687808311</v>
      </c>
      <c r="L86" s="1155">
        <f t="shared" si="237"/>
        <v>0</v>
      </c>
      <c r="M86" s="1155">
        <f t="shared" si="237"/>
        <v>0</v>
      </c>
      <c r="N86" s="1155">
        <f t="shared" si="237"/>
        <v>0</v>
      </c>
      <c r="O86" s="1155">
        <f t="shared" si="237"/>
        <v>0</v>
      </c>
      <c r="P86" s="1155">
        <f t="shared" si="237"/>
        <v>0</v>
      </c>
      <c r="Q86" s="1155">
        <f t="shared" si="237"/>
        <v>0</v>
      </c>
      <c r="R86" s="1155">
        <f t="shared" si="237"/>
        <v>0</v>
      </c>
      <c r="S86" s="1155">
        <f t="shared" si="237"/>
        <v>0</v>
      </c>
      <c r="T86" s="1155">
        <f t="shared" si="237"/>
        <v>0</v>
      </c>
      <c r="U86" s="1155">
        <f t="shared" si="237"/>
        <v>0</v>
      </c>
      <c r="V86" s="1155">
        <f t="shared" si="237"/>
        <v>0</v>
      </c>
      <c r="W86" s="1155">
        <f t="shared" si="237"/>
        <v>0</v>
      </c>
      <c r="X86" s="1155">
        <f t="shared" si="237"/>
        <v>0</v>
      </c>
      <c r="Y86" s="1155">
        <f t="shared" si="237"/>
        <v>0</v>
      </c>
      <c r="Z86" s="1155">
        <f t="shared" si="237"/>
        <v>0</v>
      </c>
      <c r="AA86" s="1155">
        <f t="shared" si="237"/>
        <v>0</v>
      </c>
      <c r="AB86" s="1155">
        <f t="shared" si="237"/>
        <v>0</v>
      </c>
      <c r="AC86" s="1155">
        <f t="shared" si="237"/>
        <v>0</v>
      </c>
      <c r="AD86" s="1155">
        <f t="shared" si="237"/>
        <v>0</v>
      </c>
      <c r="AE86" s="1155">
        <f t="shared" si="237"/>
        <v>0</v>
      </c>
      <c r="AF86" s="1155">
        <f t="shared" si="237"/>
        <v>0</v>
      </c>
      <c r="AG86" s="1155">
        <f t="shared" si="237"/>
        <v>0</v>
      </c>
      <c r="AH86" s="1155">
        <f t="shared" ref="AH86:BM86" si="238">AH85+AH76</f>
        <v>0</v>
      </c>
      <c r="AI86" s="1155">
        <f t="shared" si="238"/>
        <v>0</v>
      </c>
      <c r="AJ86" s="1155">
        <f t="shared" si="238"/>
        <v>0</v>
      </c>
      <c r="AK86" s="1155">
        <f t="shared" si="238"/>
        <v>0</v>
      </c>
      <c r="AL86" s="1155">
        <f t="shared" si="238"/>
        <v>0</v>
      </c>
      <c r="AM86" s="1155">
        <f t="shared" si="238"/>
        <v>0</v>
      </c>
      <c r="AN86" s="1155">
        <f t="shared" si="238"/>
        <v>0</v>
      </c>
      <c r="AO86" s="1155">
        <f t="shared" si="238"/>
        <v>0</v>
      </c>
      <c r="AP86" s="1155">
        <f t="shared" si="238"/>
        <v>0</v>
      </c>
      <c r="AQ86" s="1155">
        <f t="shared" si="238"/>
        <v>0</v>
      </c>
      <c r="AR86" s="1155">
        <f t="shared" si="238"/>
        <v>0</v>
      </c>
      <c r="AS86" s="1155">
        <f t="shared" si="238"/>
        <v>0</v>
      </c>
      <c r="AT86" s="1155">
        <f t="shared" si="238"/>
        <v>0</v>
      </c>
      <c r="AU86" s="1155">
        <f t="shared" si="238"/>
        <v>0</v>
      </c>
      <c r="AV86" s="1155">
        <f t="shared" si="238"/>
        <v>0</v>
      </c>
      <c r="AW86" s="1155">
        <f t="shared" si="238"/>
        <v>0</v>
      </c>
      <c r="AX86" s="1155">
        <f t="shared" si="238"/>
        <v>0</v>
      </c>
      <c r="AY86" s="1155">
        <f t="shared" si="238"/>
        <v>0</v>
      </c>
      <c r="AZ86" s="1155">
        <f t="shared" si="238"/>
        <v>0</v>
      </c>
      <c r="BA86" s="1155">
        <f t="shared" si="238"/>
        <v>0</v>
      </c>
      <c r="BB86" s="1155">
        <f t="shared" si="238"/>
        <v>0</v>
      </c>
      <c r="BC86" s="1155">
        <f t="shared" si="238"/>
        <v>0</v>
      </c>
      <c r="BD86" s="1155">
        <f t="shared" si="238"/>
        <v>0</v>
      </c>
      <c r="BE86" s="1155">
        <f t="shared" si="238"/>
        <v>718448000</v>
      </c>
      <c r="BF86" s="1155">
        <f t="shared" si="238"/>
        <v>718448000</v>
      </c>
      <c r="BG86" s="1155">
        <f t="shared" si="238"/>
        <v>0</v>
      </c>
      <c r="BH86" s="1155">
        <f t="shared" si="238"/>
        <v>728058812</v>
      </c>
      <c r="BI86" s="1155">
        <f t="shared" si="238"/>
        <v>687808311</v>
      </c>
      <c r="BJ86" s="1154">
        <f t="shared" si="238"/>
        <v>0</v>
      </c>
      <c r="BK86" s="1155">
        <f t="shared" si="238"/>
        <v>0</v>
      </c>
      <c r="BL86" s="1155">
        <f t="shared" si="238"/>
        <v>0</v>
      </c>
      <c r="BM86" s="1155">
        <f t="shared" si="238"/>
        <v>0</v>
      </c>
      <c r="BN86" s="1155">
        <f t="shared" ref="BN86:CS86" si="239">BN85+BN76</f>
        <v>0</v>
      </c>
      <c r="BO86" s="1155">
        <f t="shared" si="239"/>
        <v>0</v>
      </c>
      <c r="BP86" s="1155">
        <f t="shared" si="239"/>
        <v>0</v>
      </c>
      <c r="BQ86" s="1155">
        <f t="shared" si="239"/>
        <v>5671681</v>
      </c>
      <c r="BR86" s="1155">
        <f t="shared" si="239"/>
        <v>5671681</v>
      </c>
      <c r="BS86" s="1155">
        <f t="shared" si="239"/>
        <v>5671681</v>
      </c>
      <c r="BT86" s="1155">
        <f t="shared" si="239"/>
        <v>67455000</v>
      </c>
      <c r="BU86" s="1155">
        <f t="shared" si="239"/>
        <v>67455000</v>
      </c>
      <c r="BV86" s="1155">
        <f t="shared" si="239"/>
        <v>-1083334</v>
      </c>
      <c r="BW86" s="1155">
        <f t="shared" si="239"/>
        <v>66371666</v>
      </c>
      <c r="BX86" s="1155">
        <f t="shared" si="239"/>
        <v>66371666</v>
      </c>
      <c r="BY86" s="1155">
        <f t="shared" si="239"/>
        <v>0</v>
      </c>
      <c r="BZ86" s="1155">
        <f t="shared" si="239"/>
        <v>0</v>
      </c>
      <c r="CA86" s="1155">
        <f t="shared" si="239"/>
        <v>0</v>
      </c>
      <c r="CB86" s="1155">
        <f t="shared" si="239"/>
        <v>0</v>
      </c>
      <c r="CC86" s="1155">
        <f t="shared" si="239"/>
        <v>0</v>
      </c>
      <c r="CD86" s="1155">
        <f t="shared" si="239"/>
        <v>0</v>
      </c>
      <c r="CE86" s="1155">
        <f t="shared" si="239"/>
        <v>0</v>
      </c>
      <c r="CF86" s="1155">
        <f t="shared" si="239"/>
        <v>0</v>
      </c>
      <c r="CG86" s="1155">
        <f t="shared" si="239"/>
        <v>0</v>
      </c>
      <c r="CH86" s="1155">
        <f t="shared" si="239"/>
        <v>0</v>
      </c>
      <c r="CI86" s="1155">
        <f t="shared" si="239"/>
        <v>0</v>
      </c>
      <c r="CJ86" s="1155">
        <f t="shared" si="239"/>
        <v>0</v>
      </c>
      <c r="CK86" s="1155">
        <f t="shared" si="239"/>
        <v>0</v>
      </c>
      <c r="CL86" s="1155">
        <f t="shared" si="239"/>
        <v>0</v>
      </c>
      <c r="CM86" s="1155">
        <f t="shared" si="239"/>
        <v>0</v>
      </c>
      <c r="CN86" s="1155">
        <f t="shared" si="239"/>
        <v>0</v>
      </c>
      <c r="CO86" s="1155">
        <f t="shared" si="239"/>
        <v>0</v>
      </c>
      <c r="CP86" s="1155">
        <f t="shared" si="239"/>
        <v>0</v>
      </c>
      <c r="CQ86" s="1155">
        <f t="shared" si="239"/>
        <v>0</v>
      </c>
      <c r="CR86" s="1155">
        <f t="shared" si="239"/>
        <v>0</v>
      </c>
      <c r="CS86" s="1155">
        <f t="shared" si="239"/>
        <v>0</v>
      </c>
      <c r="CT86" s="1155">
        <f>CT85+CT76</f>
        <v>0</v>
      </c>
      <c r="CU86" s="1155">
        <f>CU85+CU76</f>
        <v>0</v>
      </c>
      <c r="CV86" s="1155">
        <f>CV85+CV76</f>
        <v>0</v>
      </c>
      <c r="CW86" s="1155">
        <f>CW85+CW76</f>
        <v>0</v>
      </c>
      <c r="CX86" s="1155"/>
      <c r="CY86" s="1155"/>
      <c r="CZ86" s="1155"/>
      <c r="DA86" s="1155">
        <f>DA85+DA76</f>
        <v>4000000</v>
      </c>
      <c r="DB86" s="1155">
        <f>DB85+DB76</f>
        <v>4000000</v>
      </c>
      <c r="DC86" s="1155">
        <f t="shared" ref="DC86:DQ86" si="240">DC85+DC76</f>
        <v>67455000</v>
      </c>
      <c r="DD86" s="1155">
        <f t="shared" si="240"/>
        <v>67455000</v>
      </c>
      <c r="DE86" s="1155">
        <f t="shared" si="240"/>
        <v>4588347</v>
      </c>
      <c r="DF86" s="1155">
        <f t="shared" si="240"/>
        <v>76043347</v>
      </c>
      <c r="DG86" s="1155">
        <f t="shared" si="240"/>
        <v>76043347</v>
      </c>
      <c r="DH86" s="1155">
        <f t="shared" si="240"/>
        <v>0</v>
      </c>
      <c r="DI86" s="1155">
        <f t="shared" si="240"/>
        <v>0</v>
      </c>
      <c r="DJ86" s="1155">
        <f t="shared" si="240"/>
        <v>0</v>
      </c>
      <c r="DK86" s="1155">
        <f t="shared" si="240"/>
        <v>0</v>
      </c>
      <c r="DL86" s="1155">
        <f t="shared" si="240"/>
        <v>0</v>
      </c>
      <c r="DM86" s="1155">
        <f t="shared" si="240"/>
        <v>785903000</v>
      </c>
      <c r="DN86" s="1155">
        <f t="shared" si="240"/>
        <v>785903000</v>
      </c>
      <c r="DO86" s="1155">
        <f t="shared" si="240"/>
        <v>4588347</v>
      </c>
      <c r="DP86" s="1155">
        <f t="shared" si="240"/>
        <v>804102159</v>
      </c>
      <c r="DQ86" s="1155">
        <f t="shared" si="240"/>
        <v>763851658</v>
      </c>
    </row>
    <row r="87" spans="1:126" ht="15" hidden="1" customHeight="1">
      <c r="A87" s="634" t="s">
        <v>765</v>
      </c>
      <c r="C87" s="1153"/>
      <c r="D87" s="1153"/>
      <c r="E87" s="909">
        <f t="shared" ref="E87:E102" si="241">SUM(C87+D87)</f>
        <v>0</v>
      </c>
      <c r="F87" s="909"/>
      <c r="G87" s="909"/>
      <c r="H87" s="1153"/>
      <c r="I87" s="1153"/>
      <c r="J87" s="909">
        <f t="shared" ref="J87:J102" si="242">SUM(H87+I87)</f>
        <v>0</v>
      </c>
      <c r="K87" s="909"/>
      <c r="L87" s="909"/>
      <c r="M87" s="1153"/>
      <c r="N87" s="1153"/>
      <c r="O87" s="909">
        <f t="shared" ref="O87:O102" si="243">SUM(M87+N87)</f>
        <v>0</v>
      </c>
      <c r="P87" s="909"/>
      <c r="Q87" s="909"/>
      <c r="R87" s="1153"/>
      <c r="S87" s="1153"/>
      <c r="T87" s="914">
        <f t="shared" ref="T87:T102" si="244">SUM(R87+S87)</f>
        <v>0</v>
      </c>
      <c r="U87" s="914"/>
      <c r="V87" s="914"/>
      <c r="W87" s="914"/>
      <c r="X87" s="1153"/>
      <c r="Y87" s="914">
        <f t="shared" ref="Y87:Y102" si="245">SUM(W87+X87)</f>
        <v>0</v>
      </c>
      <c r="Z87" s="914"/>
      <c r="AA87" s="914"/>
      <c r="AB87" s="1153"/>
      <c r="AC87" s="1153"/>
      <c r="AD87" s="914">
        <f t="shared" ref="AD87:AD102" si="246">SUM(AB87+AC87)</f>
        <v>0</v>
      </c>
      <c r="AE87" s="914"/>
      <c r="AF87" s="914"/>
      <c r="AG87" s="1153"/>
      <c r="AH87" s="1153"/>
      <c r="AI87" s="914">
        <f t="shared" ref="AI87:AI102" si="247">SUM(AG87+AH87)</f>
        <v>0</v>
      </c>
      <c r="AJ87" s="914"/>
      <c r="AK87" s="914"/>
      <c r="AL87" s="1153"/>
      <c r="AM87" s="1153"/>
      <c r="AN87" s="909">
        <f t="shared" ref="AN87:AN102" si="248">SUM(AL87+AM87)</f>
        <v>0</v>
      </c>
      <c r="AO87" s="909"/>
      <c r="AP87" s="909"/>
      <c r="AQ87" s="909"/>
      <c r="AR87" s="909"/>
      <c r="AS87" s="909">
        <f t="shared" ref="AS87:AS102" si="249">SUM(AQ87+AR87)</f>
        <v>0</v>
      </c>
      <c r="AT87" s="909"/>
      <c r="AU87" s="909"/>
      <c r="AV87" s="1153"/>
      <c r="AW87" s="1153"/>
      <c r="AX87" s="914">
        <f t="shared" ref="AX87:AX102" si="250">SUM(AV87+AW87)</f>
        <v>0</v>
      </c>
      <c r="AY87" s="914"/>
      <c r="AZ87" s="914"/>
      <c r="BA87" s="909"/>
      <c r="BB87" s="909"/>
      <c r="BC87" s="914">
        <f t="shared" ref="BC87:BC102" si="251">SUM(BA87+BB87)</f>
        <v>0</v>
      </c>
      <c r="BD87" s="914"/>
      <c r="BE87" s="914"/>
      <c r="BF87" s="1160"/>
      <c r="BG87" s="1160"/>
      <c r="BH87" s="916">
        <f t="shared" ref="BH87:BH94" si="252">SUM(BF87+BG87)</f>
        <v>0</v>
      </c>
      <c r="BI87" s="916"/>
      <c r="BJ87" s="909"/>
      <c r="BK87" s="1153"/>
      <c r="BL87" s="1153"/>
      <c r="BM87" s="909">
        <f t="shared" ref="BM87:BM102" si="253">SUM(BK87+BL87)</f>
        <v>0</v>
      </c>
      <c r="BN87" s="909"/>
      <c r="BO87" s="909"/>
      <c r="BP87" s="1153"/>
      <c r="BQ87" s="1153"/>
      <c r="BR87" s="909">
        <f t="shared" ref="BR87:BR102" si="254">SUM(BP87+BQ87)</f>
        <v>0</v>
      </c>
      <c r="BS87" s="909"/>
      <c r="BT87" s="909"/>
      <c r="BU87" s="1153"/>
      <c r="BV87" s="1153"/>
      <c r="BW87" s="909">
        <f t="shared" ref="BW87:BW102" si="255">SUM(BU87+BV87)</f>
        <v>0</v>
      </c>
      <c r="BX87" s="909"/>
      <c r="BY87" s="909"/>
      <c r="BZ87" s="1153"/>
      <c r="CA87" s="1153"/>
      <c r="CB87" s="909">
        <f t="shared" ref="CB87:CB102" si="256">SUM(BZ87+CA87)</f>
        <v>0</v>
      </c>
      <c r="CC87" s="909"/>
      <c r="CD87" s="909"/>
      <c r="CE87" s="1153"/>
      <c r="CF87" s="1153"/>
      <c r="CG87" s="909">
        <f t="shared" ref="CG87:CG102" si="257">SUM(CE87+CF87)</f>
        <v>0</v>
      </c>
      <c r="CH87" s="909"/>
      <c r="CI87" s="909"/>
      <c r="CJ87" s="1153"/>
      <c r="CK87" s="1153"/>
      <c r="CL87" s="909">
        <f t="shared" ref="CL87:CL102" si="258">SUM(CJ87+CK87)</f>
        <v>0</v>
      </c>
      <c r="CM87" s="909"/>
      <c r="CN87" s="909"/>
      <c r="CO87" s="1153"/>
      <c r="CP87" s="1153"/>
      <c r="CQ87" s="909">
        <f t="shared" ref="CQ87:CQ102" si="259">SUM(CO87+CP87)</f>
        <v>0</v>
      </c>
      <c r="CR87" s="909"/>
      <c r="CS87" s="909"/>
      <c r="CT87" s="1153"/>
      <c r="CU87" s="1153"/>
      <c r="CV87" s="909">
        <f t="shared" ref="CV87:CV102" si="260">SUM(CT87+CU87)</f>
        <v>0</v>
      </c>
      <c r="CW87" s="909"/>
      <c r="CX87" s="909"/>
      <c r="CY87" s="909"/>
      <c r="CZ87" s="909"/>
      <c r="DA87" s="909"/>
      <c r="DB87" s="909"/>
      <c r="DC87" s="916"/>
      <c r="DD87" s="1160"/>
      <c r="DE87" s="1160"/>
      <c r="DF87" s="916">
        <f t="shared" ref="DF87:DF94" si="261">SUM(DD87+DE87)</f>
        <v>0</v>
      </c>
      <c r="DG87" s="916"/>
      <c r="DH87" s="916"/>
      <c r="DI87" s="909"/>
      <c r="DJ87" s="909"/>
      <c r="DK87" s="909">
        <f t="shared" ref="DK87:DK102" si="262">SUM(DI87:DJ87)</f>
        <v>0</v>
      </c>
      <c r="DL87" s="909"/>
      <c r="DM87" s="916"/>
      <c r="DN87" s="1141">
        <f>BF87+DD87</f>
        <v>0</v>
      </c>
      <c r="DO87" s="1141">
        <f>BG87+DE87</f>
        <v>0</v>
      </c>
      <c r="DP87" s="916">
        <f t="shared" ref="DP87:DP94" si="263">SUM(DN87:DO87)</f>
        <v>0</v>
      </c>
      <c r="DQ87" s="1157"/>
      <c r="DR87" s="451"/>
      <c r="DS87" s="451"/>
      <c r="DT87" s="919"/>
      <c r="DU87" s="919"/>
      <c r="DV87" s="919"/>
    </row>
    <row r="88" spans="1:126" ht="15" hidden="1" customHeight="1">
      <c r="A88" s="380" t="s">
        <v>766</v>
      </c>
      <c r="B88" s="380"/>
      <c r="C88" s="1153"/>
      <c r="D88" s="1153"/>
      <c r="E88" s="909">
        <f t="shared" si="241"/>
        <v>0</v>
      </c>
      <c r="F88" s="909"/>
      <c r="G88" s="909"/>
      <c r="H88" s="1153"/>
      <c r="I88" s="1153"/>
      <c r="J88" s="909">
        <f t="shared" si="242"/>
        <v>0</v>
      </c>
      <c r="K88" s="909"/>
      <c r="L88" s="909"/>
      <c r="M88" s="1153"/>
      <c r="N88" s="1153"/>
      <c r="O88" s="909">
        <f t="shared" si="243"/>
        <v>0</v>
      </c>
      <c r="P88" s="909"/>
      <c r="Q88" s="909"/>
      <c r="R88" s="1153"/>
      <c r="S88" s="1153"/>
      <c r="T88" s="914">
        <f t="shared" si="244"/>
        <v>0</v>
      </c>
      <c r="U88" s="914"/>
      <c r="V88" s="914"/>
      <c r="W88" s="914"/>
      <c r="X88" s="1153"/>
      <c r="Y88" s="914">
        <f t="shared" si="245"/>
        <v>0</v>
      </c>
      <c r="Z88" s="914"/>
      <c r="AA88" s="914"/>
      <c r="AB88" s="1153"/>
      <c r="AC88" s="1153"/>
      <c r="AD88" s="914">
        <f t="shared" si="246"/>
        <v>0</v>
      </c>
      <c r="AE88" s="914"/>
      <c r="AF88" s="914"/>
      <c r="AG88" s="1153"/>
      <c r="AH88" s="1153"/>
      <c r="AI88" s="914">
        <f t="shared" si="247"/>
        <v>0</v>
      </c>
      <c r="AJ88" s="914"/>
      <c r="AK88" s="914"/>
      <c r="AL88" s="1153"/>
      <c r="AM88" s="1153"/>
      <c r="AN88" s="909">
        <f t="shared" si="248"/>
        <v>0</v>
      </c>
      <c r="AO88" s="909"/>
      <c r="AP88" s="909"/>
      <c r="AQ88" s="909"/>
      <c r="AR88" s="909"/>
      <c r="AS88" s="909">
        <f t="shared" si="249"/>
        <v>0</v>
      </c>
      <c r="AT88" s="909"/>
      <c r="AU88" s="909"/>
      <c r="AV88" s="1153"/>
      <c r="AW88" s="1153"/>
      <c r="AX88" s="914">
        <f t="shared" si="250"/>
        <v>0</v>
      </c>
      <c r="AY88" s="914"/>
      <c r="AZ88" s="914"/>
      <c r="BA88" s="909"/>
      <c r="BB88" s="909"/>
      <c r="BC88" s="914">
        <f t="shared" si="251"/>
        <v>0</v>
      </c>
      <c r="BD88" s="914"/>
      <c r="BE88" s="914"/>
      <c r="BF88" s="1160">
        <f t="shared" ref="BF88:BF102" si="264">C88+H88+M88+R88+W88+AB88+AG88+AL88+AQ88+AV88+BA88</f>
        <v>0</v>
      </c>
      <c r="BG88" s="1160">
        <f t="shared" ref="BG88:BG102" si="265">D88+I88+N88+S88+X88+AC88+AH88+AM88+AR88+AW88+BB88</f>
        <v>0</v>
      </c>
      <c r="BH88" s="916">
        <f t="shared" si="252"/>
        <v>0</v>
      </c>
      <c r="BI88" s="916"/>
      <c r="BJ88" s="909"/>
      <c r="BK88" s="1153"/>
      <c r="BL88" s="1153"/>
      <c r="BM88" s="909">
        <f t="shared" si="253"/>
        <v>0</v>
      </c>
      <c r="BN88" s="909"/>
      <c r="BO88" s="909"/>
      <c r="BP88" s="1153"/>
      <c r="BQ88" s="1153"/>
      <c r="BR88" s="909">
        <f t="shared" si="254"/>
        <v>0</v>
      </c>
      <c r="BS88" s="909"/>
      <c r="BT88" s="909"/>
      <c r="BU88" s="1153"/>
      <c r="BV88" s="1153"/>
      <c r="BW88" s="909">
        <f t="shared" si="255"/>
        <v>0</v>
      </c>
      <c r="BX88" s="909"/>
      <c r="BY88" s="909"/>
      <c r="BZ88" s="1153"/>
      <c r="CA88" s="1153"/>
      <c r="CB88" s="909">
        <f t="shared" si="256"/>
        <v>0</v>
      </c>
      <c r="CC88" s="909"/>
      <c r="CD88" s="909"/>
      <c r="CE88" s="1153"/>
      <c r="CF88" s="1153"/>
      <c r="CG88" s="909">
        <f t="shared" si="257"/>
        <v>0</v>
      </c>
      <c r="CH88" s="909"/>
      <c r="CI88" s="909"/>
      <c r="CJ88" s="1153"/>
      <c r="CK88" s="1153"/>
      <c r="CL88" s="909">
        <f t="shared" si="258"/>
        <v>0</v>
      </c>
      <c r="CM88" s="909"/>
      <c r="CN88" s="909"/>
      <c r="CO88" s="1153"/>
      <c r="CP88" s="1153"/>
      <c r="CQ88" s="909">
        <f t="shared" si="259"/>
        <v>0</v>
      </c>
      <c r="CR88" s="909"/>
      <c r="CS88" s="909"/>
      <c r="CT88" s="1153"/>
      <c r="CU88" s="1153"/>
      <c r="CV88" s="909">
        <f t="shared" si="260"/>
        <v>0</v>
      </c>
      <c r="CW88" s="909"/>
      <c r="CX88" s="909"/>
      <c r="CY88" s="909"/>
      <c r="CZ88" s="909"/>
      <c r="DA88" s="909"/>
      <c r="DB88" s="909"/>
      <c r="DC88" s="916"/>
      <c r="DD88" s="1160">
        <f>BK88+BP88+BU88+CT88</f>
        <v>0</v>
      </c>
      <c r="DE88" s="1160">
        <f>BL88+BQ88+BV88+CU88</f>
        <v>0</v>
      </c>
      <c r="DF88" s="916">
        <f t="shared" si="261"/>
        <v>0</v>
      </c>
      <c r="DG88" s="916"/>
      <c r="DH88" s="916"/>
      <c r="DI88" s="909"/>
      <c r="DJ88" s="909"/>
      <c r="DK88" s="909">
        <f t="shared" si="262"/>
        <v>0</v>
      </c>
      <c r="DL88" s="909"/>
      <c r="DM88" s="916"/>
      <c r="DN88" s="1141">
        <f>BF88+DD88</f>
        <v>0</v>
      </c>
      <c r="DO88" s="1141">
        <f>BG88+DE88</f>
        <v>0</v>
      </c>
      <c r="DP88" s="916">
        <f t="shared" si="263"/>
        <v>0</v>
      </c>
      <c r="DQ88" s="1157"/>
      <c r="DR88" s="451"/>
      <c r="DS88" s="451"/>
      <c r="DT88" s="919"/>
      <c r="DU88" s="919"/>
      <c r="DV88" s="919"/>
    </row>
    <row r="89" spans="1:126" ht="15" hidden="1" customHeight="1">
      <c r="A89" s="380" t="s">
        <v>767</v>
      </c>
      <c r="B89" s="380"/>
      <c r="C89" s="1153"/>
      <c r="D89" s="1153"/>
      <c r="E89" s="909">
        <f t="shared" si="241"/>
        <v>0</v>
      </c>
      <c r="F89" s="943">
        <f t="shared" ref="F89:F94" si="266">C89-B89</f>
        <v>0</v>
      </c>
      <c r="G89" s="909"/>
      <c r="H89" s="1153"/>
      <c r="I89" s="1153"/>
      <c r="J89" s="909">
        <f t="shared" si="242"/>
        <v>0</v>
      </c>
      <c r="K89" s="943">
        <f t="shared" ref="K89:K94" si="267">H89-G89</f>
        <v>0</v>
      </c>
      <c r="L89" s="909"/>
      <c r="M89" s="1153"/>
      <c r="N89" s="1153"/>
      <c r="O89" s="909">
        <f t="shared" si="243"/>
        <v>0</v>
      </c>
      <c r="P89" s="943">
        <f t="shared" ref="P89:P94" si="268">M89-L89</f>
        <v>0</v>
      </c>
      <c r="Q89" s="909"/>
      <c r="R89" s="1153"/>
      <c r="S89" s="1153"/>
      <c r="T89" s="914">
        <f t="shared" si="244"/>
        <v>0</v>
      </c>
      <c r="U89" s="943">
        <f t="shared" ref="U89:U94" si="269">R89-Q89</f>
        <v>0</v>
      </c>
      <c r="V89" s="914"/>
      <c r="W89" s="914"/>
      <c r="X89" s="1153"/>
      <c r="Y89" s="914">
        <f t="shared" si="245"/>
        <v>0</v>
      </c>
      <c r="Z89" s="943">
        <f t="shared" ref="Z89:Z94" si="270">W89-V89</f>
        <v>0</v>
      </c>
      <c r="AA89" s="914"/>
      <c r="AB89" s="1153"/>
      <c r="AC89" s="1153"/>
      <c r="AD89" s="914">
        <f t="shared" si="246"/>
        <v>0</v>
      </c>
      <c r="AE89" s="943">
        <f t="shared" ref="AE89:AE96" si="271">AB89-AA89</f>
        <v>0</v>
      </c>
      <c r="AF89" s="914"/>
      <c r="AG89" s="1153"/>
      <c r="AH89" s="1153"/>
      <c r="AI89" s="914">
        <f t="shared" si="247"/>
        <v>0</v>
      </c>
      <c r="AJ89" s="943">
        <f t="shared" ref="AJ89:AJ96" si="272">AG89-AF89</f>
        <v>0</v>
      </c>
      <c r="AK89" s="914"/>
      <c r="AL89" s="1153"/>
      <c r="AM89" s="1153"/>
      <c r="AN89" s="909">
        <f t="shared" si="248"/>
        <v>0</v>
      </c>
      <c r="AO89" s="943">
        <f t="shared" ref="AO89:AO96" si="273">AL89-AK89</f>
        <v>0</v>
      </c>
      <c r="AP89" s="909"/>
      <c r="AQ89" s="909"/>
      <c r="AR89" s="909"/>
      <c r="AS89" s="909">
        <f t="shared" si="249"/>
        <v>0</v>
      </c>
      <c r="AT89" s="943">
        <f t="shared" ref="AT89:AT96" si="274">AQ89-AP89</f>
        <v>0</v>
      </c>
      <c r="AU89" s="909"/>
      <c r="AV89" s="1153"/>
      <c r="AW89" s="1153"/>
      <c r="AX89" s="914">
        <f t="shared" si="250"/>
        <v>0</v>
      </c>
      <c r="AY89" s="943">
        <f t="shared" ref="AY89:AY96" si="275">AV89-AU89</f>
        <v>0</v>
      </c>
      <c r="AZ89" s="914"/>
      <c r="BA89" s="909"/>
      <c r="BB89" s="909"/>
      <c r="BC89" s="914">
        <f t="shared" si="251"/>
        <v>0</v>
      </c>
      <c r="BD89" s="943">
        <f t="shared" ref="BD89:BD96" si="276">BA89-AZ89</f>
        <v>0</v>
      </c>
      <c r="BE89" s="1160">
        <f t="shared" ref="BE89:BE96" si="277">B89+G89+L89+Q89+V89+AA89+AF89+AK89+AP89+AU89+AZ89</f>
        <v>0</v>
      </c>
      <c r="BF89" s="1160">
        <f t="shared" si="264"/>
        <v>0</v>
      </c>
      <c r="BG89" s="1160">
        <f t="shared" si="265"/>
        <v>0</v>
      </c>
      <c r="BH89" s="916">
        <f t="shared" si="252"/>
        <v>0</v>
      </c>
      <c r="BI89" s="1141">
        <f t="shared" ref="BI89:BI94" si="278">BF89-BE89</f>
        <v>0</v>
      </c>
      <c r="BJ89" s="909"/>
      <c r="BK89" s="1153"/>
      <c r="BL89" s="1153"/>
      <c r="BM89" s="909">
        <f t="shared" si="253"/>
        <v>0</v>
      </c>
      <c r="BN89" s="943">
        <f t="shared" ref="BN89:BN94" si="279">BK89-BJ89</f>
        <v>0</v>
      </c>
      <c r="BO89" s="909"/>
      <c r="BP89" s="1153"/>
      <c r="BQ89" s="1153"/>
      <c r="BR89" s="909">
        <f t="shared" si="254"/>
        <v>0</v>
      </c>
      <c r="BS89" s="943">
        <f t="shared" ref="BS89:BS96" si="280">BP89-BO89</f>
        <v>0</v>
      </c>
      <c r="BT89" s="909"/>
      <c r="BU89" s="1153"/>
      <c r="BV89" s="1153"/>
      <c r="BW89" s="909">
        <f t="shared" si="255"/>
        <v>0</v>
      </c>
      <c r="BX89" s="943">
        <f t="shared" ref="BX89:BX94" si="281">BU89-BT89</f>
        <v>0</v>
      </c>
      <c r="BY89" s="909"/>
      <c r="BZ89" s="1153"/>
      <c r="CA89" s="1153"/>
      <c r="CB89" s="909">
        <f t="shared" si="256"/>
        <v>0</v>
      </c>
      <c r="CC89" s="943">
        <f t="shared" ref="CC89:CC94" si="282">BZ89-BY89</f>
        <v>0</v>
      </c>
      <c r="CD89" s="909"/>
      <c r="CE89" s="1153"/>
      <c r="CF89" s="1153"/>
      <c r="CG89" s="909">
        <f t="shared" si="257"/>
        <v>0</v>
      </c>
      <c r="CH89" s="943">
        <f t="shared" ref="CH89:CH96" si="283">CE89-CD89</f>
        <v>0</v>
      </c>
      <c r="CI89" s="909"/>
      <c r="CJ89" s="1153"/>
      <c r="CK89" s="1153"/>
      <c r="CL89" s="909">
        <f t="shared" si="258"/>
        <v>0</v>
      </c>
      <c r="CM89" s="943">
        <f t="shared" ref="CM89:CM94" si="284">CJ89-CI89</f>
        <v>0</v>
      </c>
      <c r="CN89" s="909"/>
      <c r="CO89" s="1153"/>
      <c r="CP89" s="1153"/>
      <c r="CQ89" s="909">
        <f t="shared" si="259"/>
        <v>0</v>
      </c>
      <c r="CR89" s="943">
        <f t="shared" ref="CR89:CR96" si="285">CO89-CN89</f>
        <v>0</v>
      </c>
      <c r="CS89" s="909"/>
      <c r="CT89" s="1153"/>
      <c r="CU89" s="1153"/>
      <c r="CV89" s="909">
        <f t="shared" si="260"/>
        <v>0</v>
      </c>
      <c r="CW89" s="943">
        <f t="shared" ref="CW89:CW96" si="286">CT89-CS89</f>
        <v>0</v>
      </c>
      <c r="CX89" s="943"/>
      <c r="CY89" s="943"/>
      <c r="CZ89" s="943"/>
      <c r="DA89" s="943"/>
      <c r="DB89" s="943"/>
      <c r="DC89" s="1160">
        <f t="shared" ref="DC89:DE96" si="287">BJ89+BO89+BT89+BY89+CD89+CI89+CN89+CS89</f>
        <v>0</v>
      </c>
      <c r="DD89" s="1160">
        <f t="shared" si="287"/>
        <v>0</v>
      </c>
      <c r="DE89" s="1160">
        <f t="shared" si="287"/>
        <v>0</v>
      </c>
      <c r="DF89" s="916">
        <f t="shared" si="261"/>
        <v>0</v>
      </c>
      <c r="DG89" s="1141">
        <f t="shared" ref="DG89:DG94" si="288">DD89-DC89</f>
        <v>0</v>
      </c>
      <c r="DH89" s="916"/>
      <c r="DI89" s="909"/>
      <c r="DJ89" s="909"/>
      <c r="DK89" s="909">
        <f t="shared" si="262"/>
        <v>0</v>
      </c>
      <c r="DL89" s="943">
        <f t="shared" ref="DL89:DL94" si="289">DI89-DH89</f>
        <v>0</v>
      </c>
      <c r="DM89" s="1141">
        <f t="shared" ref="DM89:DO96" si="290">BE89+DC89+DH89</f>
        <v>0</v>
      </c>
      <c r="DN89" s="1141">
        <f t="shared" si="290"/>
        <v>0</v>
      </c>
      <c r="DO89" s="1141">
        <f t="shared" si="290"/>
        <v>0</v>
      </c>
      <c r="DP89" s="916">
        <f t="shared" si="263"/>
        <v>0</v>
      </c>
      <c r="DQ89" s="1150">
        <f t="shared" ref="DQ89:DQ94" si="291">DN89-DM89</f>
        <v>0</v>
      </c>
      <c r="DR89" s="451"/>
      <c r="DS89" s="451"/>
      <c r="DT89" s="919"/>
      <c r="DU89" s="919"/>
      <c r="DV89" s="919"/>
    </row>
    <row r="90" spans="1:126" ht="15" hidden="1" customHeight="1">
      <c r="A90" s="380" t="s">
        <v>768</v>
      </c>
      <c r="B90" s="380"/>
      <c r="C90" s="1153"/>
      <c r="D90" s="1153"/>
      <c r="E90" s="909">
        <f t="shared" si="241"/>
        <v>0</v>
      </c>
      <c r="F90" s="943">
        <f t="shared" si="266"/>
        <v>0</v>
      </c>
      <c r="G90" s="909"/>
      <c r="H90" s="1153"/>
      <c r="I90" s="1153"/>
      <c r="J90" s="909">
        <f t="shared" si="242"/>
        <v>0</v>
      </c>
      <c r="K90" s="943">
        <f t="shared" si="267"/>
        <v>0</v>
      </c>
      <c r="L90" s="909"/>
      <c r="M90" s="1153"/>
      <c r="N90" s="1153"/>
      <c r="O90" s="909">
        <f t="shared" si="243"/>
        <v>0</v>
      </c>
      <c r="P90" s="943">
        <f t="shared" si="268"/>
        <v>0</v>
      </c>
      <c r="Q90" s="909"/>
      <c r="R90" s="1153"/>
      <c r="S90" s="1153"/>
      <c r="T90" s="914">
        <f t="shared" si="244"/>
        <v>0</v>
      </c>
      <c r="U90" s="943">
        <f t="shared" si="269"/>
        <v>0</v>
      </c>
      <c r="V90" s="914"/>
      <c r="W90" s="914"/>
      <c r="X90" s="1153"/>
      <c r="Y90" s="914">
        <f t="shared" si="245"/>
        <v>0</v>
      </c>
      <c r="Z90" s="943">
        <f t="shared" si="270"/>
        <v>0</v>
      </c>
      <c r="AA90" s="914"/>
      <c r="AB90" s="1153"/>
      <c r="AC90" s="1153"/>
      <c r="AD90" s="914">
        <f t="shared" si="246"/>
        <v>0</v>
      </c>
      <c r="AE90" s="943">
        <f t="shared" si="271"/>
        <v>0</v>
      </c>
      <c r="AF90" s="914"/>
      <c r="AG90" s="1153"/>
      <c r="AH90" s="1153"/>
      <c r="AI90" s="914">
        <f t="shared" si="247"/>
        <v>0</v>
      </c>
      <c r="AJ90" s="943">
        <f t="shared" si="272"/>
        <v>0</v>
      </c>
      <c r="AK90" s="914"/>
      <c r="AL90" s="1153"/>
      <c r="AM90" s="1153"/>
      <c r="AN90" s="909">
        <f t="shared" si="248"/>
        <v>0</v>
      </c>
      <c r="AO90" s="943">
        <f t="shared" si="273"/>
        <v>0</v>
      </c>
      <c r="AP90" s="909"/>
      <c r="AQ90" s="909"/>
      <c r="AR90" s="909"/>
      <c r="AS90" s="909">
        <f t="shared" si="249"/>
        <v>0</v>
      </c>
      <c r="AT90" s="943">
        <f t="shared" si="274"/>
        <v>0</v>
      </c>
      <c r="AU90" s="909"/>
      <c r="AV90" s="1153"/>
      <c r="AW90" s="1153"/>
      <c r="AX90" s="914">
        <f t="shared" si="250"/>
        <v>0</v>
      </c>
      <c r="AY90" s="943">
        <f t="shared" si="275"/>
        <v>0</v>
      </c>
      <c r="AZ90" s="914"/>
      <c r="BA90" s="909"/>
      <c r="BB90" s="909"/>
      <c r="BC90" s="914">
        <f t="shared" si="251"/>
        <v>0</v>
      </c>
      <c r="BD90" s="943">
        <f t="shared" si="276"/>
        <v>0</v>
      </c>
      <c r="BE90" s="1160">
        <f t="shared" si="277"/>
        <v>0</v>
      </c>
      <c r="BF90" s="1160">
        <f t="shared" si="264"/>
        <v>0</v>
      </c>
      <c r="BG90" s="1160">
        <f t="shared" si="265"/>
        <v>0</v>
      </c>
      <c r="BH90" s="916">
        <f t="shared" si="252"/>
        <v>0</v>
      </c>
      <c r="BI90" s="1141">
        <f t="shared" si="278"/>
        <v>0</v>
      </c>
      <c r="BJ90" s="909"/>
      <c r="BK90" s="1153"/>
      <c r="BL90" s="1153"/>
      <c r="BM90" s="909">
        <f t="shared" si="253"/>
        <v>0</v>
      </c>
      <c r="BN90" s="943">
        <f t="shared" si="279"/>
        <v>0</v>
      </c>
      <c r="BO90" s="909"/>
      <c r="BP90" s="1153"/>
      <c r="BQ90" s="1153"/>
      <c r="BR90" s="909">
        <f t="shared" si="254"/>
        <v>0</v>
      </c>
      <c r="BS90" s="943">
        <f t="shared" si="280"/>
        <v>0</v>
      </c>
      <c r="BT90" s="909"/>
      <c r="BU90" s="1153"/>
      <c r="BV90" s="1153"/>
      <c r="BW90" s="909">
        <f t="shared" si="255"/>
        <v>0</v>
      </c>
      <c r="BX90" s="943">
        <f t="shared" si="281"/>
        <v>0</v>
      </c>
      <c r="BY90" s="909"/>
      <c r="BZ90" s="1153"/>
      <c r="CA90" s="1153"/>
      <c r="CB90" s="909">
        <f t="shared" si="256"/>
        <v>0</v>
      </c>
      <c r="CC90" s="943">
        <f t="shared" si="282"/>
        <v>0</v>
      </c>
      <c r="CD90" s="909"/>
      <c r="CE90" s="1153"/>
      <c r="CF90" s="1153"/>
      <c r="CG90" s="909">
        <f t="shared" si="257"/>
        <v>0</v>
      </c>
      <c r="CH90" s="943">
        <f t="shared" si="283"/>
        <v>0</v>
      </c>
      <c r="CI90" s="909"/>
      <c r="CJ90" s="1153"/>
      <c r="CK90" s="1153"/>
      <c r="CL90" s="909">
        <f t="shared" si="258"/>
        <v>0</v>
      </c>
      <c r="CM90" s="943">
        <f t="shared" si="284"/>
        <v>0</v>
      </c>
      <c r="CN90" s="909"/>
      <c r="CO90" s="1153"/>
      <c r="CP90" s="1153"/>
      <c r="CQ90" s="909">
        <f t="shared" si="259"/>
        <v>0</v>
      </c>
      <c r="CR90" s="943">
        <f t="shared" si="285"/>
        <v>0</v>
      </c>
      <c r="CS90" s="909"/>
      <c r="CT90" s="1153"/>
      <c r="CU90" s="1153"/>
      <c r="CV90" s="909">
        <f t="shared" si="260"/>
        <v>0</v>
      </c>
      <c r="CW90" s="943">
        <f t="shared" si="286"/>
        <v>0</v>
      </c>
      <c r="CX90" s="943"/>
      <c r="CY90" s="943"/>
      <c r="CZ90" s="943"/>
      <c r="DA90" s="943"/>
      <c r="DB90" s="943"/>
      <c r="DC90" s="1160">
        <f t="shared" si="287"/>
        <v>0</v>
      </c>
      <c r="DD90" s="1160">
        <f t="shared" si="287"/>
        <v>0</v>
      </c>
      <c r="DE90" s="1160">
        <f t="shared" si="287"/>
        <v>0</v>
      </c>
      <c r="DF90" s="916">
        <f t="shared" si="261"/>
        <v>0</v>
      </c>
      <c r="DG90" s="1141">
        <f t="shared" si="288"/>
        <v>0</v>
      </c>
      <c r="DH90" s="916"/>
      <c r="DI90" s="909"/>
      <c r="DJ90" s="909"/>
      <c r="DK90" s="909">
        <f t="shared" si="262"/>
        <v>0</v>
      </c>
      <c r="DL90" s="943">
        <f t="shared" si="289"/>
        <v>0</v>
      </c>
      <c r="DM90" s="1141">
        <f t="shared" si="290"/>
        <v>0</v>
      </c>
      <c r="DN90" s="1141">
        <f t="shared" si="290"/>
        <v>0</v>
      </c>
      <c r="DO90" s="1141">
        <f t="shared" si="290"/>
        <v>0</v>
      </c>
      <c r="DP90" s="916">
        <f t="shared" si="263"/>
        <v>0</v>
      </c>
      <c r="DQ90" s="1150">
        <f t="shared" si="291"/>
        <v>0</v>
      </c>
      <c r="DR90" s="451"/>
      <c r="DS90" s="451"/>
      <c r="DT90" s="919"/>
      <c r="DU90" s="919"/>
      <c r="DV90" s="919"/>
    </row>
    <row r="91" spans="1:126" ht="15" hidden="1" customHeight="1">
      <c r="A91" s="380" t="s">
        <v>769</v>
      </c>
      <c r="B91" s="380"/>
      <c r="C91" s="1153"/>
      <c r="D91" s="1153"/>
      <c r="E91" s="909">
        <f t="shared" si="241"/>
        <v>0</v>
      </c>
      <c r="F91" s="943">
        <f t="shared" si="266"/>
        <v>0</v>
      </c>
      <c r="G91" s="909"/>
      <c r="H91" s="1153"/>
      <c r="I91" s="1153"/>
      <c r="J91" s="909">
        <f t="shared" si="242"/>
        <v>0</v>
      </c>
      <c r="K91" s="943">
        <f t="shared" si="267"/>
        <v>0</v>
      </c>
      <c r="L91" s="909"/>
      <c r="M91" s="1153"/>
      <c r="N91" s="1153"/>
      <c r="O91" s="909">
        <f t="shared" si="243"/>
        <v>0</v>
      </c>
      <c r="P91" s="943">
        <f t="shared" si="268"/>
        <v>0</v>
      </c>
      <c r="Q91" s="909"/>
      <c r="R91" s="1153"/>
      <c r="S91" s="1153"/>
      <c r="T91" s="914">
        <f t="shared" si="244"/>
        <v>0</v>
      </c>
      <c r="U91" s="943">
        <f t="shared" si="269"/>
        <v>0</v>
      </c>
      <c r="V91" s="914"/>
      <c r="W91" s="914"/>
      <c r="X91" s="1153"/>
      <c r="Y91" s="914">
        <f t="shared" si="245"/>
        <v>0</v>
      </c>
      <c r="Z91" s="943">
        <f t="shared" si="270"/>
        <v>0</v>
      </c>
      <c r="AA91" s="914"/>
      <c r="AB91" s="1153"/>
      <c r="AC91" s="1153"/>
      <c r="AD91" s="914">
        <f t="shared" si="246"/>
        <v>0</v>
      </c>
      <c r="AE91" s="943">
        <f t="shared" si="271"/>
        <v>0</v>
      </c>
      <c r="AF91" s="914"/>
      <c r="AG91" s="1153"/>
      <c r="AH91" s="1153"/>
      <c r="AI91" s="914">
        <f t="shared" si="247"/>
        <v>0</v>
      </c>
      <c r="AJ91" s="943">
        <f t="shared" si="272"/>
        <v>0</v>
      </c>
      <c r="AK91" s="914"/>
      <c r="AL91" s="1153"/>
      <c r="AM91" s="1153"/>
      <c r="AN91" s="909">
        <f t="shared" si="248"/>
        <v>0</v>
      </c>
      <c r="AO91" s="943">
        <f t="shared" si="273"/>
        <v>0</v>
      </c>
      <c r="AP91" s="909"/>
      <c r="AQ91" s="909"/>
      <c r="AR91" s="909"/>
      <c r="AS91" s="909">
        <f t="shared" si="249"/>
        <v>0</v>
      </c>
      <c r="AT91" s="943">
        <f t="shared" si="274"/>
        <v>0</v>
      </c>
      <c r="AU91" s="909"/>
      <c r="AV91" s="1153"/>
      <c r="AW91" s="1153"/>
      <c r="AX91" s="914">
        <f t="shared" si="250"/>
        <v>0</v>
      </c>
      <c r="AY91" s="943">
        <f t="shared" si="275"/>
        <v>0</v>
      </c>
      <c r="AZ91" s="914"/>
      <c r="BA91" s="909"/>
      <c r="BB91" s="909"/>
      <c r="BC91" s="914">
        <f t="shared" si="251"/>
        <v>0</v>
      </c>
      <c r="BD91" s="943">
        <f t="shared" si="276"/>
        <v>0</v>
      </c>
      <c r="BE91" s="1160">
        <f t="shared" si="277"/>
        <v>0</v>
      </c>
      <c r="BF91" s="1160">
        <f t="shared" si="264"/>
        <v>0</v>
      </c>
      <c r="BG91" s="1160">
        <f t="shared" si="265"/>
        <v>0</v>
      </c>
      <c r="BH91" s="916">
        <f t="shared" si="252"/>
        <v>0</v>
      </c>
      <c r="BI91" s="1141">
        <f t="shared" si="278"/>
        <v>0</v>
      </c>
      <c r="BJ91" s="909"/>
      <c r="BK91" s="1153"/>
      <c r="BL91" s="1153"/>
      <c r="BM91" s="909">
        <f t="shared" si="253"/>
        <v>0</v>
      </c>
      <c r="BN91" s="943">
        <f t="shared" si="279"/>
        <v>0</v>
      </c>
      <c r="BO91" s="909"/>
      <c r="BP91" s="1153"/>
      <c r="BQ91" s="1153"/>
      <c r="BR91" s="909">
        <f t="shared" si="254"/>
        <v>0</v>
      </c>
      <c r="BS91" s="943">
        <f t="shared" si="280"/>
        <v>0</v>
      </c>
      <c r="BT91" s="909"/>
      <c r="BU91" s="1153"/>
      <c r="BV91" s="1153"/>
      <c r="BW91" s="909">
        <f t="shared" si="255"/>
        <v>0</v>
      </c>
      <c r="BX91" s="943">
        <f t="shared" si="281"/>
        <v>0</v>
      </c>
      <c r="BY91" s="909"/>
      <c r="BZ91" s="1153"/>
      <c r="CA91" s="1153"/>
      <c r="CB91" s="909">
        <f t="shared" si="256"/>
        <v>0</v>
      </c>
      <c r="CC91" s="943">
        <f t="shared" si="282"/>
        <v>0</v>
      </c>
      <c r="CD91" s="909"/>
      <c r="CE91" s="1153"/>
      <c r="CF91" s="1153"/>
      <c r="CG91" s="909">
        <f t="shared" si="257"/>
        <v>0</v>
      </c>
      <c r="CH91" s="943">
        <f t="shared" si="283"/>
        <v>0</v>
      </c>
      <c r="CI91" s="909"/>
      <c r="CJ91" s="1153"/>
      <c r="CK91" s="1153"/>
      <c r="CL91" s="909">
        <f t="shared" si="258"/>
        <v>0</v>
      </c>
      <c r="CM91" s="943">
        <f t="shared" si="284"/>
        <v>0</v>
      </c>
      <c r="CN91" s="909"/>
      <c r="CO91" s="1153"/>
      <c r="CP91" s="1153"/>
      <c r="CQ91" s="909">
        <f t="shared" si="259"/>
        <v>0</v>
      </c>
      <c r="CR91" s="943">
        <f t="shared" si="285"/>
        <v>0</v>
      </c>
      <c r="CS91" s="909"/>
      <c r="CT91" s="1153"/>
      <c r="CU91" s="1153"/>
      <c r="CV91" s="909">
        <f t="shared" si="260"/>
        <v>0</v>
      </c>
      <c r="CW91" s="943">
        <f t="shared" si="286"/>
        <v>0</v>
      </c>
      <c r="CX91" s="943"/>
      <c r="CY91" s="943"/>
      <c r="CZ91" s="943"/>
      <c r="DA91" s="943"/>
      <c r="DB91" s="943"/>
      <c r="DC91" s="1160">
        <f t="shared" si="287"/>
        <v>0</v>
      </c>
      <c r="DD91" s="1160">
        <f t="shared" si="287"/>
        <v>0</v>
      </c>
      <c r="DE91" s="1160">
        <f t="shared" si="287"/>
        <v>0</v>
      </c>
      <c r="DF91" s="916">
        <f t="shared" si="261"/>
        <v>0</v>
      </c>
      <c r="DG91" s="1141">
        <f t="shared" si="288"/>
        <v>0</v>
      </c>
      <c r="DH91" s="916"/>
      <c r="DI91" s="909"/>
      <c r="DJ91" s="909"/>
      <c r="DK91" s="909">
        <f t="shared" si="262"/>
        <v>0</v>
      </c>
      <c r="DL91" s="943">
        <f t="shared" si="289"/>
        <v>0</v>
      </c>
      <c r="DM91" s="1141">
        <f t="shared" si="290"/>
        <v>0</v>
      </c>
      <c r="DN91" s="1141">
        <f t="shared" si="290"/>
        <v>0</v>
      </c>
      <c r="DO91" s="1141">
        <f t="shared" si="290"/>
        <v>0</v>
      </c>
      <c r="DP91" s="916">
        <f t="shared" si="263"/>
        <v>0</v>
      </c>
      <c r="DQ91" s="1150">
        <f t="shared" si="291"/>
        <v>0</v>
      </c>
      <c r="DR91" s="451"/>
      <c r="DS91" s="451"/>
      <c r="DT91" s="919"/>
      <c r="DU91" s="919"/>
      <c r="DV91" s="919"/>
    </row>
    <row r="92" spans="1:126" ht="15" hidden="1" customHeight="1">
      <c r="A92" s="380" t="s">
        <v>770</v>
      </c>
      <c r="B92" s="380"/>
      <c r="C92" s="1153"/>
      <c r="D92" s="1153"/>
      <c r="E92" s="909">
        <f t="shared" si="241"/>
        <v>0</v>
      </c>
      <c r="F92" s="943">
        <f t="shared" si="266"/>
        <v>0</v>
      </c>
      <c r="G92" s="909"/>
      <c r="H92" s="1153"/>
      <c r="I92" s="1153"/>
      <c r="J92" s="909">
        <f t="shared" si="242"/>
        <v>0</v>
      </c>
      <c r="K92" s="943">
        <f t="shared" si="267"/>
        <v>0</v>
      </c>
      <c r="L92" s="909"/>
      <c r="M92" s="1153"/>
      <c r="N92" s="1153"/>
      <c r="O92" s="909">
        <f t="shared" si="243"/>
        <v>0</v>
      </c>
      <c r="P92" s="943">
        <f t="shared" si="268"/>
        <v>0</v>
      </c>
      <c r="Q92" s="909"/>
      <c r="R92" s="1153"/>
      <c r="S92" s="1153"/>
      <c r="T92" s="914">
        <f t="shared" si="244"/>
        <v>0</v>
      </c>
      <c r="U92" s="943">
        <f t="shared" si="269"/>
        <v>0</v>
      </c>
      <c r="V92" s="914"/>
      <c r="W92" s="914"/>
      <c r="X92" s="1153"/>
      <c r="Y92" s="914">
        <f t="shared" si="245"/>
        <v>0</v>
      </c>
      <c r="Z92" s="943">
        <f t="shared" si="270"/>
        <v>0</v>
      </c>
      <c r="AA92" s="914"/>
      <c r="AB92" s="1153"/>
      <c r="AC92" s="1153"/>
      <c r="AD92" s="914">
        <f t="shared" si="246"/>
        <v>0</v>
      </c>
      <c r="AE92" s="943">
        <f t="shared" si="271"/>
        <v>0</v>
      </c>
      <c r="AF92" s="914"/>
      <c r="AG92" s="1153"/>
      <c r="AH92" s="1153"/>
      <c r="AI92" s="914">
        <f t="shared" si="247"/>
        <v>0</v>
      </c>
      <c r="AJ92" s="943">
        <f t="shared" si="272"/>
        <v>0</v>
      </c>
      <c r="AK92" s="914"/>
      <c r="AL92" s="1153"/>
      <c r="AM92" s="1153"/>
      <c r="AN92" s="909">
        <f t="shared" si="248"/>
        <v>0</v>
      </c>
      <c r="AO92" s="943">
        <f t="shared" si="273"/>
        <v>0</v>
      </c>
      <c r="AP92" s="909"/>
      <c r="AQ92" s="909"/>
      <c r="AR92" s="909"/>
      <c r="AS92" s="909">
        <f t="shared" si="249"/>
        <v>0</v>
      </c>
      <c r="AT92" s="943">
        <f t="shared" si="274"/>
        <v>0</v>
      </c>
      <c r="AU92" s="909"/>
      <c r="AV92" s="1153"/>
      <c r="AW92" s="1153"/>
      <c r="AX92" s="914">
        <f t="shared" si="250"/>
        <v>0</v>
      </c>
      <c r="AY92" s="943">
        <f t="shared" si="275"/>
        <v>0</v>
      </c>
      <c r="AZ92" s="914"/>
      <c r="BA92" s="909"/>
      <c r="BB92" s="909"/>
      <c r="BC92" s="914">
        <f t="shared" si="251"/>
        <v>0</v>
      </c>
      <c r="BD92" s="943">
        <f t="shared" si="276"/>
        <v>0</v>
      </c>
      <c r="BE92" s="1160">
        <f t="shared" si="277"/>
        <v>0</v>
      </c>
      <c r="BF92" s="1160">
        <f t="shared" si="264"/>
        <v>0</v>
      </c>
      <c r="BG92" s="1160">
        <f t="shared" si="265"/>
        <v>0</v>
      </c>
      <c r="BH92" s="916">
        <f t="shared" si="252"/>
        <v>0</v>
      </c>
      <c r="BI92" s="1141">
        <f t="shared" si="278"/>
        <v>0</v>
      </c>
      <c r="BJ92" s="909"/>
      <c r="BK92" s="1153"/>
      <c r="BL92" s="1153"/>
      <c r="BM92" s="909">
        <f t="shared" si="253"/>
        <v>0</v>
      </c>
      <c r="BN92" s="943">
        <f t="shared" si="279"/>
        <v>0</v>
      </c>
      <c r="BO92" s="909"/>
      <c r="BP92" s="1153"/>
      <c r="BQ92" s="1153"/>
      <c r="BR92" s="909">
        <f t="shared" si="254"/>
        <v>0</v>
      </c>
      <c r="BS92" s="943">
        <f t="shared" si="280"/>
        <v>0</v>
      </c>
      <c r="BT92" s="909"/>
      <c r="BU92" s="1153"/>
      <c r="BV92" s="1153"/>
      <c r="BW92" s="909">
        <f t="shared" si="255"/>
        <v>0</v>
      </c>
      <c r="BX92" s="943">
        <f t="shared" si="281"/>
        <v>0</v>
      </c>
      <c r="BY92" s="909"/>
      <c r="BZ92" s="1153"/>
      <c r="CA92" s="1153"/>
      <c r="CB92" s="909">
        <f t="shared" si="256"/>
        <v>0</v>
      </c>
      <c r="CC92" s="943">
        <f t="shared" si="282"/>
        <v>0</v>
      </c>
      <c r="CD92" s="909"/>
      <c r="CE92" s="1153"/>
      <c r="CF92" s="1153"/>
      <c r="CG92" s="909">
        <f t="shared" si="257"/>
        <v>0</v>
      </c>
      <c r="CH92" s="943">
        <f t="shared" si="283"/>
        <v>0</v>
      </c>
      <c r="CI92" s="909"/>
      <c r="CJ92" s="1153"/>
      <c r="CK92" s="1153"/>
      <c r="CL92" s="909">
        <f t="shared" si="258"/>
        <v>0</v>
      </c>
      <c r="CM92" s="943">
        <f t="shared" si="284"/>
        <v>0</v>
      </c>
      <c r="CN92" s="909"/>
      <c r="CO92" s="1153"/>
      <c r="CP92" s="1153"/>
      <c r="CQ92" s="909">
        <f t="shared" si="259"/>
        <v>0</v>
      </c>
      <c r="CR92" s="943">
        <f t="shared" si="285"/>
        <v>0</v>
      </c>
      <c r="CS92" s="909"/>
      <c r="CT92" s="1153"/>
      <c r="CU92" s="1153"/>
      <c r="CV92" s="909">
        <f t="shared" si="260"/>
        <v>0</v>
      </c>
      <c r="CW92" s="943">
        <f t="shared" si="286"/>
        <v>0</v>
      </c>
      <c r="CX92" s="943"/>
      <c r="CY92" s="943"/>
      <c r="CZ92" s="943"/>
      <c r="DA92" s="943"/>
      <c r="DB92" s="943"/>
      <c r="DC92" s="1160">
        <f t="shared" si="287"/>
        <v>0</v>
      </c>
      <c r="DD92" s="1160">
        <f t="shared" si="287"/>
        <v>0</v>
      </c>
      <c r="DE92" s="1160">
        <f t="shared" si="287"/>
        <v>0</v>
      </c>
      <c r="DF92" s="916">
        <f t="shared" si="261"/>
        <v>0</v>
      </c>
      <c r="DG92" s="1141">
        <f t="shared" si="288"/>
        <v>0</v>
      </c>
      <c r="DH92" s="916"/>
      <c r="DI92" s="909"/>
      <c r="DJ92" s="909"/>
      <c r="DK92" s="909">
        <f t="shared" si="262"/>
        <v>0</v>
      </c>
      <c r="DL92" s="943">
        <f t="shared" si="289"/>
        <v>0</v>
      </c>
      <c r="DM92" s="1141">
        <f t="shared" si="290"/>
        <v>0</v>
      </c>
      <c r="DN92" s="1141">
        <f t="shared" si="290"/>
        <v>0</v>
      </c>
      <c r="DO92" s="1141">
        <f t="shared" si="290"/>
        <v>0</v>
      </c>
      <c r="DP92" s="916">
        <f t="shared" si="263"/>
        <v>0</v>
      </c>
      <c r="DQ92" s="1150">
        <f t="shared" si="291"/>
        <v>0</v>
      </c>
      <c r="DR92" s="451"/>
      <c r="DS92" s="451"/>
      <c r="DT92" s="919"/>
      <c r="DU92" s="919"/>
      <c r="DV92" s="919"/>
    </row>
    <row r="93" spans="1:126" ht="15" hidden="1" customHeight="1">
      <c r="A93" s="380" t="s">
        <v>771</v>
      </c>
      <c r="B93" s="380"/>
      <c r="C93" s="1153"/>
      <c r="D93" s="1153"/>
      <c r="E93" s="909">
        <f t="shared" si="241"/>
        <v>0</v>
      </c>
      <c r="F93" s="943">
        <f t="shared" si="266"/>
        <v>0</v>
      </c>
      <c r="G93" s="909"/>
      <c r="H93" s="1153"/>
      <c r="I93" s="1153"/>
      <c r="J93" s="909">
        <f t="shared" si="242"/>
        <v>0</v>
      </c>
      <c r="K93" s="943">
        <f t="shared" si="267"/>
        <v>0</v>
      </c>
      <c r="L93" s="909"/>
      <c r="M93" s="1153"/>
      <c r="N93" s="1153"/>
      <c r="O93" s="909">
        <f t="shared" si="243"/>
        <v>0</v>
      </c>
      <c r="P93" s="943">
        <f t="shared" si="268"/>
        <v>0</v>
      </c>
      <c r="Q93" s="909"/>
      <c r="R93" s="1153"/>
      <c r="S93" s="1153"/>
      <c r="T93" s="914">
        <f t="shared" si="244"/>
        <v>0</v>
      </c>
      <c r="U93" s="943">
        <f t="shared" si="269"/>
        <v>0</v>
      </c>
      <c r="V93" s="914"/>
      <c r="W93" s="914"/>
      <c r="X93" s="1153"/>
      <c r="Y93" s="914">
        <f t="shared" si="245"/>
        <v>0</v>
      </c>
      <c r="Z93" s="943">
        <f t="shared" si="270"/>
        <v>0</v>
      </c>
      <c r="AA93" s="914"/>
      <c r="AB93" s="1153"/>
      <c r="AC93" s="1153"/>
      <c r="AD93" s="914">
        <f t="shared" si="246"/>
        <v>0</v>
      </c>
      <c r="AE93" s="943">
        <f t="shared" si="271"/>
        <v>0</v>
      </c>
      <c r="AF93" s="914"/>
      <c r="AG93" s="1153"/>
      <c r="AH93" s="1153"/>
      <c r="AI93" s="914">
        <f t="shared" si="247"/>
        <v>0</v>
      </c>
      <c r="AJ93" s="943">
        <f t="shared" si="272"/>
        <v>0</v>
      </c>
      <c r="AK93" s="914"/>
      <c r="AL93" s="1153"/>
      <c r="AM93" s="1153"/>
      <c r="AN93" s="909">
        <f t="shared" si="248"/>
        <v>0</v>
      </c>
      <c r="AO93" s="943">
        <f t="shared" si="273"/>
        <v>0</v>
      </c>
      <c r="AP93" s="909"/>
      <c r="AQ93" s="909"/>
      <c r="AR93" s="909"/>
      <c r="AS93" s="909">
        <f t="shared" si="249"/>
        <v>0</v>
      </c>
      <c r="AT93" s="943">
        <f t="shared" si="274"/>
        <v>0</v>
      </c>
      <c r="AU93" s="909"/>
      <c r="AV93" s="1153"/>
      <c r="AW93" s="1153"/>
      <c r="AX93" s="914">
        <f t="shared" si="250"/>
        <v>0</v>
      </c>
      <c r="AY93" s="943">
        <f t="shared" si="275"/>
        <v>0</v>
      </c>
      <c r="AZ93" s="914"/>
      <c r="BA93" s="909"/>
      <c r="BB93" s="909"/>
      <c r="BC93" s="914">
        <f t="shared" si="251"/>
        <v>0</v>
      </c>
      <c r="BD93" s="943">
        <f t="shared" si="276"/>
        <v>0</v>
      </c>
      <c r="BE93" s="1160">
        <f t="shared" si="277"/>
        <v>0</v>
      </c>
      <c r="BF93" s="1160">
        <f t="shared" si="264"/>
        <v>0</v>
      </c>
      <c r="BG93" s="1160">
        <f t="shared" si="265"/>
        <v>0</v>
      </c>
      <c r="BH93" s="916">
        <f t="shared" si="252"/>
        <v>0</v>
      </c>
      <c r="BI93" s="1141">
        <f t="shared" si="278"/>
        <v>0</v>
      </c>
      <c r="BJ93" s="909"/>
      <c r="BK93" s="1153"/>
      <c r="BL93" s="1153"/>
      <c r="BM93" s="909">
        <f t="shared" si="253"/>
        <v>0</v>
      </c>
      <c r="BN93" s="943">
        <f t="shared" si="279"/>
        <v>0</v>
      </c>
      <c r="BO93" s="909"/>
      <c r="BP93" s="1153"/>
      <c r="BQ93" s="1153"/>
      <c r="BR93" s="909">
        <f t="shared" si="254"/>
        <v>0</v>
      </c>
      <c r="BS93" s="943">
        <f t="shared" si="280"/>
        <v>0</v>
      </c>
      <c r="BT93" s="909"/>
      <c r="BU93" s="1153"/>
      <c r="BV93" s="1153"/>
      <c r="BW93" s="909">
        <f t="shared" si="255"/>
        <v>0</v>
      </c>
      <c r="BX93" s="943">
        <f t="shared" si="281"/>
        <v>0</v>
      </c>
      <c r="BY93" s="909"/>
      <c r="BZ93" s="1153"/>
      <c r="CA93" s="1153"/>
      <c r="CB93" s="909">
        <f t="shared" si="256"/>
        <v>0</v>
      </c>
      <c r="CC93" s="943">
        <f t="shared" si="282"/>
        <v>0</v>
      </c>
      <c r="CD93" s="909"/>
      <c r="CE93" s="1153"/>
      <c r="CF93" s="1153"/>
      <c r="CG93" s="909">
        <f t="shared" si="257"/>
        <v>0</v>
      </c>
      <c r="CH93" s="943">
        <f t="shared" si="283"/>
        <v>0</v>
      </c>
      <c r="CI93" s="909"/>
      <c r="CJ93" s="1153"/>
      <c r="CK93" s="1153"/>
      <c r="CL93" s="909">
        <f t="shared" si="258"/>
        <v>0</v>
      </c>
      <c r="CM93" s="943">
        <f t="shared" si="284"/>
        <v>0</v>
      </c>
      <c r="CN93" s="909"/>
      <c r="CO93" s="1153"/>
      <c r="CP93" s="1153"/>
      <c r="CQ93" s="909">
        <f t="shared" si="259"/>
        <v>0</v>
      </c>
      <c r="CR93" s="943">
        <f t="shared" si="285"/>
        <v>0</v>
      </c>
      <c r="CS93" s="909"/>
      <c r="CT93" s="1153"/>
      <c r="CU93" s="1153"/>
      <c r="CV93" s="909">
        <f t="shared" si="260"/>
        <v>0</v>
      </c>
      <c r="CW93" s="943">
        <f t="shared" si="286"/>
        <v>0</v>
      </c>
      <c r="CX93" s="943"/>
      <c r="CY93" s="943"/>
      <c r="CZ93" s="943"/>
      <c r="DA93" s="943"/>
      <c r="DB93" s="943"/>
      <c r="DC93" s="1160">
        <f t="shared" si="287"/>
        <v>0</v>
      </c>
      <c r="DD93" s="1160">
        <f t="shared" si="287"/>
        <v>0</v>
      </c>
      <c r="DE93" s="1160">
        <f t="shared" si="287"/>
        <v>0</v>
      </c>
      <c r="DF93" s="916">
        <f t="shared" si="261"/>
        <v>0</v>
      </c>
      <c r="DG93" s="1141">
        <f t="shared" si="288"/>
        <v>0</v>
      </c>
      <c r="DH93" s="916"/>
      <c r="DI93" s="909"/>
      <c r="DJ93" s="909"/>
      <c r="DK93" s="909">
        <f t="shared" si="262"/>
        <v>0</v>
      </c>
      <c r="DL93" s="943">
        <f t="shared" si="289"/>
        <v>0</v>
      </c>
      <c r="DM93" s="1141">
        <f t="shared" si="290"/>
        <v>0</v>
      </c>
      <c r="DN93" s="1141">
        <f t="shared" si="290"/>
        <v>0</v>
      </c>
      <c r="DO93" s="1141">
        <f t="shared" si="290"/>
        <v>0</v>
      </c>
      <c r="DP93" s="916">
        <f t="shared" si="263"/>
        <v>0</v>
      </c>
      <c r="DQ93" s="1150">
        <f t="shared" si="291"/>
        <v>0</v>
      </c>
      <c r="DR93" s="451"/>
      <c r="DS93" s="451"/>
      <c r="DT93" s="919"/>
      <c r="DU93" s="919"/>
      <c r="DV93" s="919"/>
    </row>
    <row r="94" spans="1:126" ht="15" hidden="1" customHeight="1">
      <c r="A94" s="634" t="s">
        <v>772</v>
      </c>
      <c r="C94" s="1153"/>
      <c r="D94" s="1153"/>
      <c r="E94" s="909">
        <f t="shared" si="241"/>
        <v>0</v>
      </c>
      <c r="F94" s="943">
        <f t="shared" si="266"/>
        <v>0</v>
      </c>
      <c r="G94" s="909"/>
      <c r="H94" s="1153"/>
      <c r="I94" s="1153"/>
      <c r="J94" s="909">
        <f t="shared" si="242"/>
        <v>0</v>
      </c>
      <c r="K94" s="943">
        <f t="shared" si="267"/>
        <v>0</v>
      </c>
      <c r="L94" s="909"/>
      <c r="M94" s="1153"/>
      <c r="N94" s="1153"/>
      <c r="O94" s="909">
        <f t="shared" si="243"/>
        <v>0</v>
      </c>
      <c r="P94" s="943">
        <f t="shared" si="268"/>
        <v>0</v>
      </c>
      <c r="Q94" s="909"/>
      <c r="R94" s="1153"/>
      <c r="S94" s="1153"/>
      <c r="T94" s="914">
        <f t="shared" si="244"/>
        <v>0</v>
      </c>
      <c r="U94" s="943">
        <f t="shared" si="269"/>
        <v>0</v>
      </c>
      <c r="V94" s="914"/>
      <c r="W94" s="914"/>
      <c r="X94" s="1153"/>
      <c r="Y94" s="914">
        <f t="shared" si="245"/>
        <v>0</v>
      </c>
      <c r="Z94" s="943">
        <f t="shared" si="270"/>
        <v>0</v>
      </c>
      <c r="AA94" s="914"/>
      <c r="AB94" s="1153"/>
      <c r="AC94" s="1153"/>
      <c r="AD94" s="914">
        <f t="shared" si="246"/>
        <v>0</v>
      </c>
      <c r="AE94" s="943">
        <f t="shared" si="271"/>
        <v>0</v>
      </c>
      <c r="AF94" s="914"/>
      <c r="AG94" s="1153"/>
      <c r="AH94" s="1153"/>
      <c r="AI94" s="914">
        <f t="shared" si="247"/>
        <v>0</v>
      </c>
      <c r="AJ94" s="943">
        <f t="shared" si="272"/>
        <v>0</v>
      </c>
      <c r="AK94" s="914"/>
      <c r="AL94" s="1153"/>
      <c r="AM94" s="1153"/>
      <c r="AN94" s="909">
        <f t="shared" si="248"/>
        <v>0</v>
      </c>
      <c r="AO94" s="943">
        <f t="shared" si="273"/>
        <v>0</v>
      </c>
      <c r="AP94" s="909"/>
      <c r="AQ94" s="909"/>
      <c r="AR94" s="909"/>
      <c r="AS94" s="909">
        <f t="shared" si="249"/>
        <v>0</v>
      </c>
      <c r="AT94" s="943">
        <f t="shared" si="274"/>
        <v>0</v>
      </c>
      <c r="AU94" s="909"/>
      <c r="AV94" s="1153"/>
      <c r="AW94" s="1153"/>
      <c r="AX94" s="914">
        <f t="shared" si="250"/>
        <v>0</v>
      </c>
      <c r="AY94" s="943">
        <f t="shared" si="275"/>
        <v>0</v>
      </c>
      <c r="AZ94" s="914"/>
      <c r="BA94" s="909"/>
      <c r="BB94" s="909"/>
      <c r="BC94" s="914">
        <f t="shared" si="251"/>
        <v>0</v>
      </c>
      <c r="BD94" s="943">
        <f t="shared" si="276"/>
        <v>0</v>
      </c>
      <c r="BE94" s="1160">
        <f t="shared" si="277"/>
        <v>0</v>
      </c>
      <c r="BF94" s="1160">
        <f t="shared" si="264"/>
        <v>0</v>
      </c>
      <c r="BG94" s="1160">
        <f t="shared" si="265"/>
        <v>0</v>
      </c>
      <c r="BH94" s="916">
        <f t="shared" si="252"/>
        <v>0</v>
      </c>
      <c r="BI94" s="1141">
        <f t="shared" si="278"/>
        <v>0</v>
      </c>
      <c r="BJ94" s="909"/>
      <c r="BK94" s="1153"/>
      <c r="BL94" s="1153"/>
      <c r="BM94" s="909">
        <f t="shared" si="253"/>
        <v>0</v>
      </c>
      <c r="BN94" s="943">
        <f t="shared" si="279"/>
        <v>0</v>
      </c>
      <c r="BO94" s="909"/>
      <c r="BP94" s="1153"/>
      <c r="BQ94" s="1153"/>
      <c r="BR94" s="909">
        <f t="shared" si="254"/>
        <v>0</v>
      </c>
      <c r="BS94" s="943">
        <f t="shared" si="280"/>
        <v>0</v>
      </c>
      <c r="BT94" s="909"/>
      <c r="BU94" s="1153"/>
      <c r="BV94" s="1153"/>
      <c r="BW94" s="909">
        <f t="shared" si="255"/>
        <v>0</v>
      </c>
      <c r="BX94" s="943">
        <f t="shared" si="281"/>
        <v>0</v>
      </c>
      <c r="BY94" s="909"/>
      <c r="BZ94" s="1153"/>
      <c r="CA94" s="1153"/>
      <c r="CB94" s="909">
        <f t="shared" si="256"/>
        <v>0</v>
      </c>
      <c r="CC94" s="943">
        <f t="shared" si="282"/>
        <v>0</v>
      </c>
      <c r="CD94" s="909"/>
      <c r="CE94" s="1153"/>
      <c r="CF94" s="1153"/>
      <c r="CG94" s="909">
        <f t="shared" si="257"/>
        <v>0</v>
      </c>
      <c r="CH94" s="943">
        <f t="shared" si="283"/>
        <v>0</v>
      </c>
      <c r="CI94" s="909"/>
      <c r="CJ94" s="1153"/>
      <c r="CK94" s="1153"/>
      <c r="CL94" s="909">
        <f t="shared" si="258"/>
        <v>0</v>
      </c>
      <c r="CM94" s="943">
        <f t="shared" si="284"/>
        <v>0</v>
      </c>
      <c r="CN94" s="909"/>
      <c r="CO94" s="1153"/>
      <c r="CP94" s="1153"/>
      <c r="CQ94" s="909">
        <f t="shared" si="259"/>
        <v>0</v>
      </c>
      <c r="CR94" s="943">
        <f t="shared" si="285"/>
        <v>0</v>
      </c>
      <c r="CS94" s="909"/>
      <c r="CT94" s="1153"/>
      <c r="CU94" s="1153"/>
      <c r="CV94" s="909">
        <f t="shared" si="260"/>
        <v>0</v>
      </c>
      <c r="CW94" s="943">
        <f t="shared" si="286"/>
        <v>0</v>
      </c>
      <c r="CX94" s="943"/>
      <c r="CY94" s="943"/>
      <c r="CZ94" s="943"/>
      <c r="DA94" s="943"/>
      <c r="DB94" s="943"/>
      <c r="DC94" s="1160">
        <f t="shared" si="287"/>
        <v>0</v>
      </c>
      <c r="DD94" s="1160">
        <f t="shared" si="287"/>
        <v>0</v>
      </c>
      <c r="DE94" s="1160">
        <f t="shared" si="287"/>
        <v>0</v>
      </c>
      <c r="DF94" s="916">
        <f t="shared" si="261"/>
        <v>0</v>
      </c>
      <c r="DG94" s="1141">
        <f t="shared" si="288"/>
        <v>0</v>
      </c>
      <c r="DH94" s="916"/>
      <c r="DI94" s="909"/>
      <c r="DJ94" s="909"/>
      <c r="DK94" s="909">
        <f t="shared" si="262"/>
        <v>0</v>
      </c>
      <c r="DL94" s="943">
        <f t="shared" si="289"/>
        <v>0</v>
      </c>
      <c r="DM94" s="1141">
        <f t="shared" si="290"/>
        <v>0</v>
      </c>
      <c r="DN94" s="1141">
        <f t="shared" si="290"/>
        <v>0</v>
      </c>
      <c r="DO94" s="1141">
        <f t="shared" si="290"/>
        <v>0</v>
      </c>
      <c r="DP94" s="916">
        <f t="shared" si="263"/>
        <v>0</v>
      </c>
      <c r="DQ94" s="1150">
        <f t="shared" si="291"/>
        <v>0</v>
      </c>
      <c r="DR94" s="451"/>
      <c r="DS94" s="451"/>
      <c r="DT94" s="919"/>
      <c r="DU94" s="919"/>
      <c r="DV94" s="919"/>
    </row>
    <row r="95" spans="1:126" ht="15" customHeight="1">
      <c r="A95" s="634" t="s">
        <v>773</v>
      </c>
      <c r="C95" s="1153"/>
      <c r="D95" s="1153"/>
      <c r="E95" s="909">
        <f t="shared" si="241"/>
        <v>0</v>
      </c>
      <c r="F95" s="943"/>
      <c r="G95" s="909"/>
      <c r="H95" s="1153"/>
      <c r="I95" s="1153"/>
      <c r="J95" s="909">
        <f t="shared" si="242"/>
        <v>0</v>
      </c>
      <c r="K95" s="943"/>
      <c r="L95" s="909"/>
      <c r="M95" s="1153"/>
      <c r="N95" s="1153"/>
      <c r="O95" s="909">
        <f t="shared" si="243"/>
        <v>0</v>
      </c>
      <c r="P95" s="943"/>
      <c r="Q95" s="909"/>
      <c r="R95" s="1153"/>
      <c r="S95" s="1153"/>
      <c r="T95" s="914">
        <f t="shared" si="244"/>
        <v>0</v>
      </c>
      <c r="U95" s="943"/>
      <c r="V95" s="914"/>
      <c r="W95" s="914"/>
      <c r="X95" s="1153"/>
      <c r="Y95" s="914">
        <f t="shared" si="245"/>
        <v>0</v>
      </c>
      <c r="Z95" s="943"/>
      <c r="AA95" s="914"/>
      <c r="AB95" s="1153"/>
      <c r="AC95" s="1153"/>
      <c r="AD95" s="914">
        <f t="shared" si="246"/>
        <v>0</v>
      </c>
      <c r="AE95" s="943">
        <f t="shared" si="271"/>
        <v>0</v>
      </c>
      <c r="AF95" s="914"/>
      <c r="AG95" s="1153"/>
      <c r="AH95" s="1153"/>
      <c r="AI95" s="914">
        <f t="shared" si="247"/>
        <v>0</v>
      </c>
      <c r="AJ95" s="943">
        <f t="shared" si="272"/>
        <v>0</v>
      </c>
      <c r="AK95" s="1153"/>
      <c r="AL95" s="1153"/>
      <c r="AM95" s="1153"/>
      <c r="AN95" s="909">
        <f t="shared" si="248"/>
        <v>0</v>
      </c>
      <c r="AO95" s="943">
        <f t="shared" si="273"/>
        <v>0</v>
      </c>
      <c r="AP95" s="909"/>
      <c r="AQ95" s="909"/>
      <c r="AR95" s="909"/>
      <c r="AS95" s="909">
        <f t="shared" si="249"/>
        <v>0</v>
      </c>
      <c r="AT95" s="943">
        <f t="shared" si="274"/>
        <v>0</v>
      </c>
      <c r="AU95" s="909"/>
      <c r="AV95" s="1153"/>
      <c r="AW95" s="1153"/>
      <c r="AX95" s="914">
        <f t="shared" si="250"/>
        <v>0</v>
      </c>
      <c r="AY95" s="943">
        <f t="shared" si="275"/>
        <v>0</v>
      </c>
      <c r="AZ95" s="914"/>
      <c r="BA95" s="909"/>
      <c r="BB95" s="909"/>
      <c r="BC95" s="914">
        <f t="shared" si="251"/>
        <v>0</v>
      </c>
      <c r="BD95" s="943">
        <f t="shared" si="276"/>
        <v>0</v>
      </c>
      <c r="BE95" s="1160">
        <f t="shared" si="277"/>
        <v>0</v>
      </c>
      <c r="BF95" s="1160">
        <f t="shared" si="264"/>
        <v>0</v>
      </c>
      <c r="BG95" s="1160">
        <f t="shared" si="265"/>
        <v>0</v>
      </c>
      <c r="BH95" s="916">
        <f>E95+J95+O95+T95+Y95+AD95+AI95+AN95+AS95+AX95+BC95</f>
        <v>0</v>
      </c>
      <c r="BI95" s="916">
        <f>F95+K95+P95+U95+Z95+AE95+AJ95+AO95+AT95+AY95+BD95</f>
        <v>0</v>
      </c>
      <c r="BJ95" s="909"/>
      <c r="BK95" s="1153"/>
      <c r="BL95" s="1153"/>
      <c r="BM95" s="909">
        <f t="shared" si="253"/>
        <v>0</v>
      </c>
      <c r="BN95" s="943"/>
      <c r="BO95" s="909"/>
      <c r="BP95" s="1153"/>
      <c r="BQ95" s="1153"/>
      <c r="BR95" s="909">
        <f t="shared" si="254"/>
        <v>0</v>
      </c>
      <c r="BS95" s="943">
        <f t="shared" si="280"/>
        <v>0</v>
      </c>
      <c r="BT95" s="909"/>
      <c r="BU95" s="1153"/>
      <c r="BV95" s="1153"/>
      <c r="BW95" s="909">
        <f t="shared" si="255"/>
        <v>0</v>
      </c>
      <c r="BX95" s="943"/>
      <c r="BY95" s="909"/>
      <c r="BZ95" s="1153"/>
      <c r="CA95" s="1153"/>
      <c r="CB95" s="909">
        <f t="shared" si="256"/>
        <v>0</v>
      </c>
      <c r="CC95" s="943"/>
      <c r="CD95" s="909"/>
      <c r="CE95" s="1153"/>
      <c r="CF95" s="1153"/>
      <c r="CG95" s="909">
        <f t="shared" si="257"/>
        <v>0</v>
      </c>
      <c r="CH95" s="943">
        <f t="shared" si="283"/>
        <v>0</v>
      </c>
      <c r="CI95" s="909"/>
      <c r="CJ95" s="1153"/>
      <c r="CK95" s="1153"/>
      <c r="CL95" s="909">
        <f t="shared" si="258"/>
        <v>0</v>
      </c>
      <c r="CM95" s="943"/>
      <c r="CN95" s="909"/>
      <c r="CO95" s="1153"/>
      <c r="CP95" s="1153"/>
      <c r="CQ95" s="909">
        <f t="shared" si="259"/>
        <v>0</v>
      </c>
      <c r="CR95" s="943">
        <f t="shared" si="285"/>
        <v>0</v>
      </c>
      <c r="CS95" s="909"/>
      <c r="CT95" s="1153"/>
      <c r="CU95" s="1153"/>
      <c r="CV95" s="909">
        <f t="shared" si="260"/>
        <v>0</v>
      </c>
      <c r="CW95" s="943">
        <f t="shared" si="286"/>
        <v>0</v>
      </c>
      <c r="CX95" s="943"/>
      <c r="CY95" s="943"/>
      <c r="CZ95" s="943"/>
      <c r="DA95" s="943">
        <v>0</v>
      </c>
      <c r="DB95" s="943"/>
      <c r="DC95" s="1160">
        <f t="shared" si="287"/>
        <v>0</v>
      </c>
      <c r="DD95" s="1160">
        <f t="shared" si="287"/>
        <v>0</v>
      </c>
      <c r="DE95" s="1160">
        <f t="shared" si="287"/>
        <v>0</v>
      </c>
      <c r="DF95" s="916">
        <f>BM95+BR95+BW95+CB95+CG95+CL95+CQ95+CV95</f>
        <v>0</v>
      </c>
      <c r="DG95" s="916">
        <f>BN95+BS95+BX95+CC95+CH95+CM95+CR95+CW95</f>
        <v>0</v>
      </c>
      <c r="DH95" s="916"/>
      <c r="DI95" s="909"/>
      <c r="DJ95" s="909"/>
      <c r="DK95" s="909">
        <f t="shared" si="262"/>
        <v>0</v>
      </c>
      <c r="DL95" s="943"/>
      <c r="DM95" s="1141">
        <f t="shared" si="290"/>
        <v>0</v>
      </c>
      <c r="DN95" s="1141">
        <f t="shared" si="290"/>
        <v>0</v>
      </c>
      <c r="DO95" s="1141">
        <f t="shared" si="290"/>
        <v>0</v>
      </c>
      <c r="DP95" s="916">
        <f>BH95+DF95+DK95</f>
        <v>0</v>
      </c>
      <c r="DQ95" s="916">
        <f>BI95+DG95+DL95</f>
        <v>0</v>
      </c>
      <c r="DR95" s="451"/>
      <c r="DS95" s="451"/>
      <c r="DT95" s="919"/>
      <c r="DU95" s="919"/>
      <c r="DV95" s="919"/>
    </row>
    <row r="96" spans="1:126" ht="15" customHeight="1">
      <c r="A96" s="634" t="s">
        <v>774</v>
      </c>
      <c r="C96" s="1153"/>
      <c r="D96" s="1153"/>
      <c r="E96" s="909">
        <f t="shared" si="241"/>
        <v>0</v>
      </c>
      <c r="F96" s="943"/>
      <c r="G96" s="909"/>
      <c r="H96" s="1153"/>
      <c r="I96" s="1153"/>
      <c r="J96" s="909">
        <f t="shared" si="242"/>
        <v>0</v>
      </c>
      <c r="K96" s="943"/>
      <c r="L96" s="909"/>
      <c r="M96" s="1153"/>
      <c r="N96" s="1153"/>
      <c r="O96" s="909">
        <f t="shared" si="243"/>
        <v>0</v>
      </c>
      <c r="P96" s="943"/>
      <c r="Q96" s="909"/>
      <c r="R96" s="1153"/>
      <c r="S96" s="1153"/>
      <c r="T96" s="914">
        <f t="shared" si="244"/>
        <v>0</v>
      </c>
      <c r="U96" s="943"/>
      <c r="V96" s="914"/>
      <c r="W96" s="914"/>
      <c r="X96" s="1153"/>
      <c r="Y96" s="914">
        <f t="shared" si="245"/>
        <v>0</v>
      </c>
      <c r="Z96" s="943"/>
      <c r="AA96" s="914"/>
      <c r="AB96" s="1153"/>
      <c r="AC96" s="1153"/>
      <c r="AD96" s="914">
        <f t="shared" si="246"/>
        <v>0</v>
      </c>
      <c r="AE96" s="943">
        <f t="shared" si="271"/>
        <v>0</v>
      </c>
      <c r="AF96" s="914"/>
      <c r="AG96" s="1153"/>
      <c r="AH96" s="1153"/>
      <c r="AI96" s="914">
        <f t="shared" si="247"/>
        <v>0</v>
      </c>
      <c r="AJ96" s="943">
        <f t="shared" si="272"/>
        <v>0</v>
      </c>
      <c r="AK96" s="1153"/>
      <c r="AL96" s="1153"/>
      <c r="AM96" s="1153"/>
      <c r="AN96" s="909">
        <f t="shared" si="248"/>
        <v>0</v>
      </c>
      <c r="AO96" s="943">
        <f t="shared" si="273"/>
        <v>0</v>
      </c>
      <c r="AP96" s="909"/>
      <c r="AQ96" s="909"/>
      <c r="AR96" s="909"/>
      <c r="AS96" s="909">
        <f t="shared" si="249"/>
        <v>0</v>
      </c>
      <c r="AT96" s="943">
        <f t="shared" si="274"/>
        <v>0</v>
      </c>
      <c r="AU96" s="909"/>
      <c r="AV96" s="1153"/>
      <c r="AW96" s="1153"/>
      <c r="AX96" s="914">
        <f t="shared" si="250"/>
        <v>0</v>
      </c>
      <c r="AY96" s="943">
        <f t="shared" si="275"/>
        <v>0</v>
      </c>
      <c r="AZ96" s="914"/>
      <c r="BA96" s="909"/>
      <c r="BB96" s="909"/>
      <c r="BC96" s="914">
        <f t="shared" si="251"/>
        <v>0</v>
      </c>
      <c r="BD96" s="943">
        <f t="shared" si="276"/>
        <v>0</v>
      </c>
      <c r="BE96" s="1160">
        <f t="shared" si="277"/>
        <v>0</v>
      </c>
      <c r="BF96" s="1160">
        <f t="shared" si="264"/>
        <v>0</v>
      </c>
      <c r="BG96" s="1160">
        <f t="shared" si="265"/>
        <v>0</v>
      </c>
      <c r="BH96" s="916">
        <f>E96+J96+O96+T96+Y96+AD96+AI96+AN96+AS96+AX96+BC96</f>
        <v>0</v>
      </c>
      <c r="BI96" s="916">
        <f t="shared" ref="BI96:BI102" si="292">F96+K96+P96+U96+Z96+AE96+AJ96+AO96+AT96+AY96+BD96</f>
        <v>0</v>
      </c>
      <c r="BJ96" s="909"/>
      <c r="BK96" s="1153"/>
      <c r="BL96" s="1153"/>
      <c r="BM96" s="909">
        <f t="shared" si="253"/>
        <v>0</v>
      </c>
      <c r="BN96" s="943"/>
      <c r="BO96" s="909"/>
      <c r="BP96" s="1153"/>
      <c r="BQ96" s="1153"/>
      <c r="BR96" s="909">
        <f t="shared" si="254"/>
        <v>0</v>
      </c>
      <c r="BS96" s="943">
        <f t="shared" si="280"/>
        <v>0</v>
      </c>
      <c r="BT96" s="909"/>
      <c r="BU96" s="1153"/>
      <c r="BV96" s="1153"/>
      <c r="BW96" s="909">
        <f t="shared" si="255"/>
        <v>0</v>
      </c>
      <c r="BX96" s="943"/>
      <c r="BY96" s="909"/>
      <c r="BZ96" s="1153"/>
      <c r="CA96" s="1153"/>
      <c r="CB96" s="909">
        <f t="shared" si="256"/>
        <v>0</v>
      </c>
      <c r="CC96" s="943"/>
      <c r="CD96" s="909"/>
      <c r="CE96" s="1153"/>
      <c r="CF96" s="1153"/>
      <c r="CG96" s="909">
        <f t="shared" si="257"/>
        <v>0</v>
      </c>
      <c r="CH96" s="943">
        <f t="shared" si="283"/>
        <v>0</v>
      </c>
      <c r="CI96" s="909"/>
      <c r="CJ96" s="1153"/>
      <c r="CK96" s="1153"/>
      <c r="CL96" s="909">
        <f t="shared" si="258"/>
        <v>0</v>
      </c>
      <c r="CM96" s="943"/>
      <c r="CN96" s="909"/>
      <c r="CO96" s="1153"/>
      <c r="CP96" s="1153"/>
      <c r="CQ96" s="909">
        <f t="shared" si="259"/>
        <v>0</v>
      </c>
      <c r="CR96" s="943">
        <f t="shared" si="285"/>
        <v>0</v>
      </c>
      <c r="CS96" s="909"/>
      <c r="CT96" s="1153"/>
      <c r="CU96" s="1153"/>
      <c r="CV96" s="909">
        <f t="shared" si="260"/>
        <v>0</v>
      </c>
      <c r="CW96" s="943">
        <f t="shared" si="286"/>
        <v>0</v>
      </c>
      <c r="CX96" s="943"/>
      <c r="CY96" s="943"/>
      <c r="CZ96" s="943"/>
      <c r="DA96" s="943">
        <v>0</v>
      </c>
      <c r="DB96" s="943"/>
      <c r="DC96" s="1160">
        <f t="shared" si="287"/>
        <v>0</v>
      </c>
      <c r="DD96" s="1160">
        <f t="shared" si="287"/>
        <v>0</v>
      </c>
      <c r="DE96" s="1160">
        <f t="shared" si="287"/>
        <v>0</v>
      </c>
      <c r="DF96" s="916">
        <f>BM96+BR96+BW96+CB96+CG96+CL96+CQ96+CV96</f>
        <v>0</v>
      </c>
      <c r="DG96" s="916">
        <f>BN96+BS96+BX96+CC96+CH96+CM96+CR96+CW96</f>
        <v>0</v>
      </c>
      <c r="DH96" s="916"/>
      <c r="DI96" s="909"/>
      <c r="DJ96" s="909"/>
      <c r="DK96" s="909">
        <f t="shared" si="262"/>
        <v>0</v>
      </c>
      <c r="DL96" s="943"/>
      <c r="DM96" s="1141">
        <f t="shared" si="290"/>
        <v>0</v>
      </c>
      <c r="DN96" s="1141">
        <f t="shared" si="290"/>
        <v>0</v>
      </c>
      <c r="DO96" s="1141">
        <f t="shared" si="290"/>
        <v>0</v>
      </c>
      <c r="DP96" s="916">
        <f>BH96+DF96+DK96</f>
        <v>0</v>
      </c>
      <c r="DQ96" s="916">
        <f t="shared" ref="DQ96:DQ102" si="293">BI96+DG96+DL96</f>
        <v>0</v>
      </c>
      <c r="DR96" s="451"/>
      <c r="DS96" s="451"/>
      <c r="DT96" s="919"/>
      <c r="DU96" s="919"/>
      <c r="DV96" s="919"/>
    </row>
    <row r="97" spans="1:126" ht="15" hidden="1" customHeight="1">
      <c r="A97" s="380" t="s">
        <v>775</v>
      </c>
      <c r="B97" s="380"/>
      <c r="C97" s="1153"/>
      <c r="D97" s="1153"/>
      <c r="E97" s="909">
        <f t="shared" si="241"/>
        <v>0</v>
      </c>
      <c r="F97" s="909"/>
      <c r="G97" s="909"/>
      <c r="H97" s="1153"/>
      <c r="I97" s="1153"/>
      <c r="J97" s="909">
        <f t="shared" si="242"/>
        <v>0</v>
      </c>
      <c r="K97" s="909"/>
      <c r="L97" s="909"/>
      <c r="M97" s="1153"/>
      <c r="N97" s="1153"/>
      <c r="O97" s="909">
        <f t="shared" si="243"/>
        <v>0</v>
      </c>
      <c r="P97" s="909"/>
      <c r="Q97" s="909"/>
      <c r="R97" s="1153"/>
      <c r="S97" s="1153"/>
      <c r="T97" s="914">
        <f t="shared" si="244"/>
        <v>0</v>
      </c>
      <c r="U97" s="914"/>
      <c r="V97" s="914"/>
      <c r="W97" s="914"/>
      <c r="X97" s="1153"/>
      <c r="Y97" s="914">
        <f t="shared" si="245"/>
        <v>0</v>
      </c>
      <c r="Z97" s="914"/>
      <c r="AA97" s="914"/>
      <c r="AB97" s="1153"/>
      <c r="AC97" s="1153"/>
      <c r="AD97" s="914">
        <f t="shared" si="246"/>
        <v>0</v>
      </c>
      <c r="AE97" s="914"/>
      <c r="AF97" s="914"/>
      <c r="AG97" s="1153"/>
      <c r="AH97" s="1153"/>
      <c r="AI97" s="914">
        <f t="shared" si="247"/>
        <v>0</v>
      </c>
      <c r="AJ97" s="914"/>
      <c r="AK97" s="914"/>
      <c r="AL97" s="1153"/>
      <c r="AM97" s="1153"/>
      <c r="AN97" s="909">
        <f t="shared" si="248"/>
        <v>0</v>
      </c>
      <c r="AO97" s="909"/>
      <c r="AP97" s="909"/>
      <c r="AQ97" s="909"/>
      <c r="AR97" s="909"/>
      <c r="AS97" s="909">
        <f t="shared" si="249"/>
        <v>0</v>
      </c>
      <c r="AT97" s="909"/>
      <c r="AU97" s="909"/>
      <c r="AV97" s="1153"/>
      <c r="AW97" s="1153"/>
      <c r="AX97" s="914">
        <f t="shared" si="250"/>
        <v>0</v>
      </c>
      <c r="AY97" s="914"/>
      <c r="AZ97" s="914"/>
      <c r="BA97" s="909"/>
      <c r="BB97" s="909"/>
      <c r="BC97" s="914">
        <f t="shared" si="251"/>
        <v>0</v>
      </c>
      <c r="BD97" s="914"/>
      <c r="BE97" s="914"/>
      <c r="BF97" s="1160">
        <f t="shared" si="264"/>
        <v>0</v>
      </c>
      <c r="BG97" s="1160">
        <f t="shared" si="265"/>
        <v>0</v>
      </c>
      <c r="BH97" s="916">
        <f t="shared" ref="BH97:BH102" si="294">SUM(BF97+BG97)</f>
        <v>0</v>
      </c>
      <c r="BI97" s="916">
        <f t="shared" si="292"/>
        <v>0</v>
      </c>
      <c r="BJ97" s="909"/>
      <c r="BK97" s="1153"/>
      <c r="BL97" s="1153"/>
      <c r="BM97" s="909">
        <f t="shared" si="253"/>
        <v>0</v>
      </c>
      <c r="BN97" s="909"/>
      <c r="BO97" s="909"/>
      <c r="BP97" s="1153"/>
      <c r="BQ97" s="1153"/>
      <c r="BR97" s="909">
        <f t="shared" si="254"/>
        <v>0</v>
      </c>
      <c r="BS97" s="909"/>
      <c r="BT97" s="909"/>
      <c r="BU97" s="1153"/>
      <c r="BV97" s="1153"/>
      <c r="BW97" s="909">
        <f t="shared" si="255"/>
        <v>0</v>
      </c>
      <c r="BX97" s="909"/>
      <c r="BY97" s="909"/>
      <c r="BZ97" s="1153"/>
      <c r="CA97" s="1153"/>
      <c r="CB97" s="909">
        <f t="shared" si="256"/>
        <v>0</v>
      </c>
      <c r="CC97" s="909"/>
      <c r="CD97" s="909"/>
      <c r="CE97" s="1153"/>
      <c r="CF97" s="1153"/>
      <c r="CG97" s="909">
        <f t="shared" si="257"/>
        <v>0</v>
      </c>
      <c r="CH97" s="909"/>
      <c r="CI97" s="909"/>
      <c r="CJ97" s="1153"/>
      <c r="CK97" s="1153"/>
      <c r="CL97" s="909">
        <f t="shared" si="258"/>
        <v>0</v>
      </c>
      <c r="CM97" s="909"/>
      <c r="CN97" s="909"/>
      <c r="CO97" s="1153"/>
      <c r="CP97" s="1153"/>
      <c r="CQ97" s="909">
        <f t="shared" si="259"/>
        <v>0</v>
      </c>
      <c r="CR97" s="909"/>
      <c r="CS97" s="909"/>
      <c r="CT97" s="1153"/>
      <c r="CU97" s="1153"/>
      <c r="CV97" s="909">
        <f t="shared" si="260"/>
        <v>0</v>
      </c>
      <c r="CW97" s="909"/>
      <c r="CX97" s="909"/>
      <c r="CY97" s="909"/>
      <c r="CZ97" s="909"/>
      <c r="DA97" s="909"/>
      <c r="DB97" s="909"/>
      <c r="DC97" s="1160">
        <f t="shared" ref="DC97:DC102" si="295">BJ97+BO97+BT97+BY97+CD97+CI97+CN97+CS97</f>
        <v>0</v>
      </c>
      <c r="DD97" s="1160">
        <f t="shared" ref="DD97:DE102" si="296">BK97+BP97+BU97+CT97</f>
        <v>0</v>
      </c>
      <c r="DE97" s="1160">
        <f t="shared" si="296"/>
        <v>0</v>
      </c>
      <c r="DF97" s="916">
        <f t="shared" ref="DF97:DF102" si="297">SUM(DD97+DE97)</f>
        <v>0</v>
      </c>
      <c r="DG97" s="916"/>
      <c r="DH97" s="916"/>
      <c r="DI97" s="909"/>
      <c r="DJ97" s="909"/>
      <c r="DK97" s="909">
        <f t="shared" si="262"/>
        <v>0</v>
      </c>
      <c r="DL97" s="909"/>
      <c r="DM97" s="916"/>
      <c r="DN97" s="1141">
        <f t="shared" ref="DN97:DO102" si="298">BF97+DD97</f>
        <v>0</v>
      </c>
      <c r="DO97" s="1141">
        <f t="shared" si="298"/>
        <v>0</v>
      </c>
      <c r="DP97" s="916">
        <f t="shared" ref="DP97:DP102" si="299">SUM(DN97:DO97)</f>
        <v>0</v>
      </c>
      <c r="DQ97" s="916">
        <f t="shared" si="293"/>
        <v>0</v>
      </c>
      <c r="DR97" s="451"/>
      <c r="DS97" s="451"/>
      <c r="DT97" s="919"/>
      <c r="DU97" s="919"/>
      <c r="DV97" s="919"/>
    </row>
    <row r="98" spans="1:126" ht="15" hidden="1" customHeight="1">
      <c r="A98" s="380" t="s">
        <v>776</v>
      </c>
      <c r="B98" s="380"/>
      <c r="C98" s="1153"/>
      <c r="D98" s="1153"/>
      <c r="E98" s="909">
        <f t="shared" si="241"/>
        <v>0</v>
      </c>
      <c r="F98" s="909"/>
      <c r="G98" s="909"/>
      <c r="H98" s="1153"/>
      <c r="I98" s="1153"/>
      <c r="J98" s="909">
        <f t="shared" si="242"/>
        <v>0</v>
      </c>
      <c r="K98" s="909"/>
      <c r="L98" s="909"/>
      <c r="M98" s="1153"/>
      <c r="N98" s="1153"/>
      <c r="O98" s="909">
        <f t="shared" si="243"/>
        <v>0</v>
      </c>
      <c r="P98" s="909"/>
      <c r="Q98" s="909"/>
      <c r="R98" s="1153"/>
      <c r="S98" s="1153"/>
      <c r="T98" s="914">
        <f t="shared" si="244"/>
        <v>0</v>
      </c>
      <c r="U98" s="914"/>
      <c r="V98" s="914"/>
      <c r="W98" s="914"/>
      <c r="X98" s="1153"/>
      <c r="Y98" s="914">
        <f t="shared" si="245"/>
        <v>0</v>
      </c>
      <c r="Z98" s="914"/>
      <c r="AA98" s="914"/>
      <c r="AB98" s="1153"/>
      <c r="AC98" s="1153"/>
      <c r="AD98" s="914">
        <f t="shared" si="246"/>
        <v>0</v>
      </c>
      <c r="AE98" s="914"/>
      <c r="AF98" s="914"/>
      <c r="AG98" s="1153"/>
      <c r="AH98" s="1153"/>
      <c r="AI98" s="914">
        <f t="shared" si="247"/>
        <v>0</v>
      </c>
      <c r="AJ98" s="914"/>
      <c r="AK98" s="914"/>
      <c r="AL98" s="1153"/>
      <c r="AM98" s="1153"/>
      <c r="AN98" s="909">
        <f t="shared" si="248"/>
        <v>0</v>
      </c>
      <c r="AO98" s="909"/>
      <c r="AP98" s="909"/>
      <c r="AQ98" s="909"/>
      <c r="AR98" s="909"/>
      <c r="AS98" s="909">
        <f t="shared" si="249"/>
        <v>0</v>
      </c>
      <c r="AT98" s="909"/>
      <c r="AU98" s="909"/>
      <c r="AV98" s="1153"/>
      <c r="AW98" s="1153"/>
      <c r="AX98" s="914">
        <f t="shared" si="250"/>
        <v>0</v>
      </c>
      <c r="AY98" s="914"/>
      <c r="AZ98" s="914"/>
      <c r="BA98" s="909"/>
      <c r="BB98" s="909"/>
      <c r="BC98" s="914">
        <f t="shared" si="251"/>
        <v>0</v>
      </c>
      <c r="BD98" s="914"/>
      <c r="BE98" s="914"/>
      <c r="BF98" s="1160">
        <f t="shared" si="264"/>
        <v>0</v>
      </c>
      <c r="BG98" s="1160">
        <f t="shared" si="265"/>
        <v>0</v>
      </c>
      <c r="BH98" s="916">
        <f t="shared" si="294"/>
        <v>0</v>
      </c>
      <c r="BI98" s="916">
        <f t="shared" si="292"/>
        <v>0</v>
      </c>
      <c r="BJ98" s="909"/>
      <c r="BK98" s="1153"/>
      <c r="BL98" s="1153"/>
      <c r="BM98" s="909">
        <f t="shared" si="253"/>
        <v>0</v>
      </c>
      <c r="BN98" s="909"/>
      <c r="BO98" s="909"/>
      <c r="BP98" s="1153"/>
      <c r="BQ98" s="1153"/>
      <c r="BR98" s="909">
        <f t="shared" si="254"/>
        <v>0</v>
      </c>
      <c r="BS98" s="909"/>
      <c r="BT98" s="909"/>
      <c r="BU98" s="1153"/>
      <c r="BV98" s="1153"/>
      <c r="BW98" s="909">
        <f t="shared" si="255"/>
        <v>0</v>
      </c>
      <c r="BX98" s="909"/>
      <c r="BY98" s="909"/>
      <c r="BZ98" s="1153"/>
      <c r="CA98" s="1153"/>
      <c r="CB98" s="909">
        <f t="shared" si="256"/>
        <v>0</v>
      </c>
      <c r="CC98" s="909"/>
      <c r="CD98" s="909"/>
      <c r="CE98" s="1153"/>
      <c r="CF98" s="1153"/>
      <c r="CG98" s="909">
        <f t="shared" si="257"/>
        <v>0</v>
      </c>
      <c r="CH98" s="909"/>
      <c r="CI98" s="909"/>
      <c r="CJ98" s="1153"/>
      <c r="CK98" s="1153"/>
      <c r="CL98" s="909">
        <f t="shared" si="258"/>
        <v>0</v>
      </c>
      <c r="CM98" s="909"/>
      <c r="CN98" s="909"/>
      <c r="CO98" s="1153"/>
      <c r="CP98" s="1153"/>
      <c r="CQ98" s="909">
        <f t="shared" si="259"/>
        <v>0</v>
      </c>
      <c r="CR98" s="909"/>
      <c r="CS98" s="909"/>
      <c r="CT98" s="1153"/>
      <c r="CU98" s="1153"/>
      <c r="CV98" s="909">
        <f t="shared" si="260"/>
        <v>0</v>
      </c>
      <c r="CW98" s="909"/>
      <c r="CX98" s="909"/>
      <c r="CY98" s="909"/>
      <c r="CZ98" s="909"/>
      <c r="DA98" s="909"/>
      <c r="DB98" s="909"/>
      <c r="DC98" s="1160">
        <f t="shared" si="295"/>
        <v>0</v>
      </c>
      <c r="DD98" s="1160">
        <f t="shared" si="296"/>
        <v>0</v>
      </c>
      <c r="DE98" s="1160">
        <f t="shared" si="296"/>
        <v>0</v>
      </c>
      <c r="DF98" s="916">
        <f t="shared" si="297"/>
        <v>0</v>
      </c>
      <c r="DG98" s="916"/>
      <c r="DH98" s="916"/>
      <c r="DI98" s="909"/>
      <c r="DJ98" s="909"/>
      <c r="DK98" s="909">
        <f t="shared" si="262"/>
        <v>0</v>
      </c>
      <c r="DL98" s="909"/>
      <c r="DM98" s="916"/>
      <c r="DN98" s="1141">
        <f t="shared" si="298"/>
        <v>0</v>
      </c>
      <c r="DO98" s="1141">
        <f t="shared" si="298"/>
        <v>0</v>
      </c>
      <c r="DP98" s="916">
        <f t="shared" si="299"/>
        <v>0</v>
      </c>
      <c r="DQ98" s="916">
        <f t="shared" si="293"/>
        <v>0</v>
      </c>
      <c r="DR98" s="451"/>
      <c r="DS98" s="451"/>
      <c r="DT98" s="919"/>
      <c r="DU98" s="919"/>
      <c r="DV98" s="919"/>
    </row>
    <row r="99" spans="1:126" ht="15" hidden="1" customHeight="1">
      <c r="A99" s="384" t="s">
        <v>777</v>
      </c>
      <c r="B99" s="384"/>
      <c r="C99" s="1153"/>
      <c r="D99" s="1153"/>
      <c r="E99" s="909">
        <f t="shared" si="241"/>
        <v>0</v>
      </c>
      <c r="F99" s="909"/>
      <c r="G99" s="909"/>
      <c r="H99" s="1153"/>
      <c r="I99" s="1153"/>
      <c r="J99" s="909">
        <f t="shared" si="242"/>
        <v>0</v>
      </c>
      <c r="K99" s="909"/>
      <c r="L99" s="909"/>
      <c r="M99" s="1153"/>
      <c r="N99" s="1153"/>
      <c r="O99" s="909">
        <f t="shared" si="243"/>
        <v>0</v>
      </c>
      <c r="P99" s="909"/>
      <c r="Q99" s="909"/>
      <c r="R99" s="1153"/>
      <c r="S99" s="1153"/>
      <c r="T99" s="914">
        <f t="shared" si="244"/>
        <v>0</v>
      </c>
      <c r="U99" s="914"/>
      <c r="V99" s="914"/>
      <c r="W99" s="914"/>
      <c r="X99" s="1153"/>
      <c r="Y99" s="914">
        <f t="shared" si="245"/>
        <v>0</v>
      </c>
      <c r="Z99" s="914"/>
      <c r="AA99" s="914"/>
      <c r="AB99" s="1153"/>
      <c r="AC99" s="1153"/>
      <c r="AD99" s="914">
        <f t="shared" si="246"/>
        <v>0</v>
      </c>
      <c r="AE99" s="914"/>
      <c r="AF99" s="914"/>
      <c r="AG99" s="1153"/>
      <c r="AH99" s="1153"/>
      <c r="AI99" s="914">
        <f t="shared" si="247"/>
        <v>0</v>
      </c>
      <c r="AJ99" s="914"/>
      <c r="AK99" s="914"/>
      <c r="AL99" s="1153"/>
      <c r="AM99" s="1153"/>
      <c r="AN99" s="909">
        <f t="shared" si="248"/>
        <v>0</v>
      </c>
      <c r="AO99" s="909"/>
      <c r="AP99" s="909"/>
      <c r="AQ99" s="909"/>
      <c r="AR99" s="909"/>
      <c r="AS99" s="909">
        <f t="shared" si="249"/>
        <v>0</v>
      </c>
      <c r="AT99" s="909"/>
      <c r="AU99" s="909"/>
      <c r="AV99" s="1153"/>
      <c r="AW99" s="1153"/>
      <c r="AX99" s="914">
        <f t="shared" si="250"/>
        <v>0</v>
      </c>
      <c r="AY99" s="914"/>
      <c r="AZ99" s="914"/>
      <c r="BA99" s="909"/>
      <c r="BB99" s="909"/>
      <c r="BC99" s="914">
        <f t="shared" si="251"/>
        <v>0</v>
      </c>
      <c r="BD99" s="914"/>
      <c r="BE99" s="914"/>
      <c r="BF99" s="1160">
        <f t="shared" si="264"/>
        <v>0</v>
      </c>
      <c r="BG99" s="1160">
        <f t="shared" si="265"/>
        <v>0</v>
      </c>
      <c r="BH99" s="916">
        <f t="shared" si="294"/>
        <v>0</v>
      </c>
      <c r="BI99" s="916">
        <f t="shared" si="292"/>
        <v>0</v>
      </c>
      <c r="BJ99" s="909"/>
      <c r="BK99" s="1153"/>
      <c r="BL99" s="1153"/>
      <c r="BM99" s="909">
        <f t="shared" si="253"/>
        <v>0</v>
      </c>
      <c r="BN99" s="909"/>
      <c r="BO99" s="909"/>
      <c r="BP99" s="1153"/>
      <c r="BQ99" s="1153"/>
      <c r="BR99" s="909">
        <f t="shared" si="254"/>
        <v>0</v>
      </c>
      <c r="BS99" s="909"/>
      <c r="BT99" s="909"/>
      <c r="BU99" s="1153"/>
      <c r="BV99" s="1153"/>
      <c r="BW99" s="909">
        <f t="shared" si="255"/>
        <v>0</v>
      </c>
      <c r="BX99" s="909"/>
      <c r="BY99" s="909"/>
      <c r="BZ99" s="1153"/>
      <c r="CA99" s="1153"/>
      <c r="CB99" s="909">
        <f t="shared" si="256"/>
        <v>0</v>
      </c>
      <c r="CC99" s="909"/>
      <c r="CD99" s="909"/>
      <c r="CE99" s="1153"/>
      <c r="CF99" s="1153"/>
      <c r="CG99" s="909">
        <f t="shared" si="257"/>
        <v>0</v>
      </c>
      <c r="CH99" s="909"/>
      <c r="CI99" s="909"/>
      <c r="CJ99" s="1153"/>
      <c r="CK99" s="1153"/>
      <c r="CL99" s="909">
        <f t="shared" si="258"/>
        <v>0</v>
      </c>
      <c r="CM99" s="909"/>
      <c r="CN99" s="909"/>
      <c r="CO99" s="1153"/>
      <c r="CP99" s="1153"/>
      <c r="CQ99" s="909">
        <f t="shared" si="259"/>
        <v>0</v>
      </c>
      <c r="CR99" s="909"/>
      <c r="CS99" s="909"/>
      <c r="CT99" s="1153"/>
      <c r="CU99" s="1153"/>
      <c r="CV99" s="909">
        <f t="shared" si="260"/>
        <v>0</v>
      </c>
      <c r="CW99" s="909"/>
      <c r="CX99" s="909"/>
      <c r="CY99" s="909"/>
      <c r="CZ99" s="909"/>
      <c r="DA99" s="909"/>
      <c r="DB99" s="909"/>
      <c r="DC99" s="1160">
        <f t="shared" si="295"/>
        <v>0</v>
      </c>
      <c r="DD99" s="1160">
        <f t="shared" si="296"/>
        <v>0</v>
      </c>
      <c r="DE99" s="1160">
        <f t="shared" si="296"/>
        <v>0</v>
      </c>
      <c r="DF99" s="916">
        <f t="shared" si="297"/>
        <v>0</v>
      </c>
      <c r="DG99" s="916"/>
      <c r="DH99" s="916"/>
      <c r="DI99" s="909"/>
      <c r="DJ99" s="909"/>
      <c r="DK99" s="909">
        <f t="shared" si="262"/>
        <v>0</v>
      </c>
      <c r="DL99" s="909"/>
      <c r="DM99" s="916"/>
      <c r="DN99" s="1141">
        <f t="shared" si="298"/>
        <v>0</v>
      </c>
      <c r="DO99" s="1141">
        <f t="shared" si="298"/>
        <v>0</v>
      </c>
      <c r="DP99" s="916">
        <f t="shared" si="299"/>
        <v>0</v>
      </c>
      <c r="DQ99" s="916">
        <f t="shared" si="293"/>
        <v>0</v>
      </c>
      <c r="DR99" s="451"/>
      <c r="DS99" s="451"/>
      <c r="DT99" s="919"/>
      <c r="DU99" s="919"/>
      <c r="DV99" s="919"/>
    </row>
    <row r="100" spans="1:126" ht="15" hidden="1" customHeight="1">
      <c r="A100" s="380" t="s">
        <v>778</v>
      </c>
      <c r="B100" s="380"/>
      <c r="C100" s="1153"/>
      <c r="D100" s="1153"/>
      <c r="E100" s="909">
        <f t="shared" si="241"/>
        <v>0</v>
      </c>
      <c r="F100" s="909"/>
      <c r="G100" s="909"/>
      <c r="H100" s="1153"/>
      <c r="I100" s="1153"/>
      <c r="J100" s="909">
        <f t="shared" si="242"/>
        <v>0</v>
      </c>
      <c r="K100" s="909"/>
      <c r="L100" s="909"/>
      <c r="M100" s="1153"/>
      <c r="N100" s="1153"/>
      <c r="O100" s="909">
        <f t="shared" si="243"/>
        <v>0</v>
      </c>
      <c r="P100" s="909"/>
      <c r="Q100" s="909"/>
      <c r="R100" s="1153"/>
      <c r="S100" s="1153"/>
      <c r="T100" s="914">
        <f t="shared" si="244"/>
        <v>0</v>
      </c>
      <c r="U100" s="914"/>
      <c r="V100" s="914"/>
      <c r="W100" s="914"/>
      <c r="X100" s="1153"/>
      <c r="Y100" s="914">
        <f t="shared" si="245"/>
        <v>0</v>
      </c>
      <c r="Z100" s="914"/>
      <c r="AA100" s="914"/>
      <c r="AB100" s="1153"/>
      <c r="AC100" s="1153"/>
      <c r="AD100" s="914">
        <f t="shared" si="246"/>
        <v>0</v>
      </c>
      <c r="AE100" s="914"/>
      <c r="AF100" s="914"/>
      <c r="AG100" s="1153"/>
      <c r="AH100" s="1153"/>
      <c r="AI100" s="914">
        <f t="shared" si="247"/>
        <v>0</v>
      </c>
      <c r="AJ100" s="914"/>
      <c r="AK100" s="914"/>
      <c r="AL100" s="1153"/>
      <c r="AM100" s="1153"/>
      <c r="AN100" s="909">
        <f t="shared" si="248"/>
        <v>0</v>
      </c>
      <c r="AO100" s="909"/>
      <c r="AP100" s="909"/>
      <c r="AQ100" s="909"/>
      <c r="AR100" s="909"/>
      <c r="AS100" s="909">
        <f t="shared" si="249"/>
        <v>0</v>
      </c>
      <c r="AT100" s="909"/>
      <c r="AU100" s="909"/>
      <c r="AV100" s="1153"/>
      <c r="AW100" s="1153"/>
      <c r="AX100" s="914">
        <f t="shared" si="250"/>
        <v>0</v>
      </c>
      <c r="AY100" s="914"/>
      <c r="AZ100" s="914"/>
      <c r="BA100" s="909"/>
      <c r="BB100" s="909"/>
      <c r="BC100" s="914">
        <f t="shared" si="251"/>
        <v>0</v>
      </c>
      <c r="BD100" s="914"/>
      <c r="BE100" s="914"/>
      <c r="BF100" s="1160">
        <f t="shared" si="264"/>
        <v>0</v>
      </c>
      <c r="BG100" s="1160">
        <f t="shared" si="265"/>
        <v>0</v>
      </c>
      <c r="BH100" s="916">
        <f t="shared" si="294"/>
        <v>0</v>
      </c>
      <c r="BI100" s="916">
        <f t="shared" si="292"/>
        <v>0</v>
      </c>
      <c r="BJ100" s="909"/>
      <c r="BK100" s="1153"/>
      <c r="BL100" s="1153"/>
      <c r="BM100" s="909">
        <f t="shared" si="253"/>
        <v>0</v>
      </c>
      <c r="BN100" s="909"/>
      <c r="BO100" s="909"/>
      <c r="BP100" s="1153"/>
      <c r="BQ100" s="1153"/>
      <c r="BR100" s="909">
        <f t="shared" si="254"/>
        <v>0</v>
      </c>
      <c r="BS100" s="909"/>
      <c r="BT100" s="909"/>
      <c r="BU100" s="1153"/>
      <c r="BV100" s="1153"/>
      <c r="BW100" s="909">
        <f t="shared" si="255"/>
        <v>0</v>
      </c>
      <c r="BX100" s="909"/>
      <c r="BY100" s="909"/>
      <c r="BZ100" s="1153"/>
      <c r="CA100" s="1153"/>
      <c r="CB100" s="909">
        <f t="shared" si="256"/>
        <v>0</v>
      </c>
      <c r="CC100" s="909"/>
      <c r="CD100" s="909"/>
      <c r="CE100" s="1153"/>
      <c r="CF100" s="1153"/>
      <c r="CG100" s="909">
        <f t="shared" si="257"/>
        <v>0</v>
      </c>
      <c r="CH100" s="909"/>
      <c r="CI100" s="909"/>
      <c r="CJ100" s="1153"/>
      <c r="CK100" s="1153"/>
      <c r="CL100" s="909">
        <f t="shared" si="258"/>
        <v>0</v>
      </c>
      <c r="CM100" s="909"/>
      <c r="CN100" s="909"/>
      <c r="CO100" s="1153"/>
      <c r="CP100" s="1153"/>
      <c r="CQ100" s="909">
        <f t="shared" si="259"/>
        <v>0</v>
      </c>
      <c r="CR100" s="909"/>
      <c r="CS100" s="909"/>
      <c r="CT100" s="1153"/>
      <c r="CU100" s="1153"/>
      <c r="CV100" s="909">
        <f t="shared" si="260"/>
        <v>0</v>
      </c>
      <c r="CW100" s="909"/>
      <c r="CX100" s="909"/>
      <c r="CY100" s="909"/>
      <c r="CZ100" s="909"/>
      <c r="DA100" s="909"/>
      <c r="DB100" s="909"/>
      <c r="DC100" s="1160">
        <f t="shared" si="295"/>
        <v>0</v>
      </c>
      <c r="DD100" s="1160">
        <f t="shared" si="296"/>
        <v>0</v>
      </c>
      <c r="DE100" s="1160">
        <f t="shared" si="296"/>
        <v>0</v>
      </c>
      <c r="DF100" s="916">
        <f t="shared" si="297"/>
        <v>0</v>
      </c>
      <c r="DG100" s="916"/>
      <c r="DH100" s="916"/>
      <c r="DI100" s="909"/>
      <c r="DJ100" s="909"/>
      <c r="DK100" s="909">
        <f t="shared" si="262"/>
        <v>0</v>
      </c>
      <c r="DL100" s="909"/>
      <c r="DM100" s="916"/>
      <c r="DN100" s="1141">
        <f t="shared" si="298"/>
        <v>0</v>
      </c>
      <c r="DO100" s="1141">
        <f t="shared" si="298"/>
        <v>0</v>
      </c>
      <c r="DP100" s="916">
        <f t="shared" si="299"/>
        <v>0</v>
      </c>
      <c r="DQ100" s="916">
        <f t="shared" si="293"/>
        <v>0</v>
      </c>
      <c r="DR100" s="451"/>
      <c r="DS100" s="451"/>
      <c r="DT100" s="919"/>
      <c r="DU100" s="919"/>
      <c r="DV100" s="919"/>
    </row>
    <row r="101" spans="1:126" ht="15" hidden="1" customHeight="1">
      <c r="A101" s="380" t="s">
        <v>779</v>
      </c>
      <c r="B101" s="380"/>
      <c r="C101" s="1153"/>
      <c r="D101" s="1153"/>
      <c r="E101" s="909">
        <f t="shared" si="241"/>
        <v>0</v>
      </c>
      <c r="F101" s="909"/>
      <c r="G101" s="909"/>
      <c r="H101" s="1153"/>
      <c r="I101" s="1153"/>
      <c r="J101" s="909">
        <f t="shared" si="242"/>
        <v>0</v>
      </c>
      <c r="K101" s="909"/>
      <c r="L101" s="909"/>
      <c r="M101" s="1153"/>
      <c r="N101" s="1153"/>
      <c r="O101" s="909">
        <f t="shared" si="243"/>
        <v>0</v>
      </c>
      <c r="P101" s="909"/>
      <c r="Q101" s="909"/>
      <c r="R101" s="1153"/>
      <c r="S101" s="1153"/>
      <c r="T101" s="914">
        <f t="shared" si="244"/>
        <v>0</v>
      </c>
      <c r="U101" s="914"/>
      <c r="V101" s="914"/>
      <c r="W101" s="914"/>
      <c r="X101" s="1153"/>
      <c r="Y101" s="914">
        <f t="shared" si="245"/>
        <v>0</v>
      </c>
      <c r="Z101" s="914"/>
      <c r="AA101" s="914"/>
      <c r="AB101" s="1153"/>
      <c r="AC101" s="1153"/>
      <c r="AD101" s="914">
        <f t="shared" si="246"/>
        <v>0</v>
      </c>
      <c r="AE101" s="914"/>
      <c r="AF101" s="914"/>
      <c r="AG101" s="1153"/>
      <c r="AH101" s="1153"/>
      <c r="AI101" s="914">
        <f t="shared" si="247"/>
        <v>0</v>
      </c>
      <c r="AJ101" s="914"/>
      <c r="AK101" s="914"/>
      <c r="AL101" s="1153"/>
      <c r="AM101" s="1153"/>
      <c r="AN101" s="909">
        <f t="shared" si="248"/>
        <v>0</v>
      </c>
      <c r="AO101" s="909"/>
      <c r="AP101" s="909"/>
      <c r="AQ101" s="909"/>
      <c r="AR101" s="909"/>
      <c r="AS101" s="909">
        <f t="shared" si="249"/>
        <v>0</v>
      </c>
      <c r="AT101" s="909"/>
      <c r="AU101" s="909"/>
      <c r="AV101" s="1153"/>
      <c r="AW101" s="1153"/>
      <c r="AX101" s="914">
        <f t="shared" si="250"/>
        <v>0</v>
      </c>
      <c r="AY101" s="914"/>
      <c r="AZ101" s="914"/>
      <c r="BA101" s="909"/>
      <c r="BB101" s="909"/>
      <c r="BC101" s="914">
        <f t="shared" si="251"/>
        <v>0</v>
      </c>
      <c r="BD101" s="914"/>
      <c r="BE101" s="914"/>
      <c r="BF101" s="1160">
        <f t="shared" si="264"/>
        <v>0</v>
      </c>
      <c r="BG101" s="1160">
        <f t="shared" si="265"/>
        <v>0</v>
      </c>
      <c r="BH101" s="916">
        <f t="shared" si="294"/>
        <v>0</v>
      </c>
      <c r="BI101" s="916">
        <f t="shared" si="292"/>
        <v>0</v>
      </c>
      <c r="BJ101" s="909"/>
      <c r="BK101" s="1153"/>
      <c r="BL101" s="1153"/>
      <c r="BM101" s="909">
        <f t="shared" si="253"/>
        <v>0</v>
      </c>
      <c r="BN101" s="909"/>
      <c r="BO101" s="909"/>
      <c r="BP101" s="1153"/>
      <c r="BQ101" s="1153"/>
      <c r="BR101" s="909">
        <f t="shared" si="254"/>
        <v>0</v>
      </c>
      <c r="BS101" s="909"/>
      <c r="BT101" s="909"/>
      <c r="BU101" s="1153"/>
      <c r="BV101" s="1153"/>
      <c r="BW101" s="909">
        <f t="shared" si="255"/>
        <v>0</v>
      </c>
      <c r="BX101" s="909"/>
      <c r="BY101" s="909"/>
      <c r="BZ101" s="1153"/>
      <c r="CA101" s="1153"/>
      <c r="CB101" s="909">
        <f t="shared" si="256"/>
        <v>0</v>
      </c>
      <c r="CC101" s="909"/>
      <c r="CD101" s="909"/>
      <c r="CE101" s="1153"/>
      <c r="CF101" s="1153"/>
      <c r="CG101" s="909">
        <f t="shared" si="257"/>
        <v>0</v>
      </c>
      <c r="CH101" s="909"/>
      <c r="CI101" s="909"/>
      <c r="CJ101" s="1153"/>
      <c r="CK101" s="1153"/>
      <c r="CL101" s="909">
        <f t="shared" si="258"/>
        <v>0</v>
      </c>
      <c r="CM101" s="909"/>
      <c r="CN101" s="909"/>
      <c r="CO101" s="1153"/>
      <c r="CP101" s="1153"/>
      <c r="CQ101" s="909">
        <f t="shared" si="259"/>
        <v>0</v>
      </c>
      <c r="CR101" s="909"/>
      <c r="CS101" s="909"/>
      <c r="CT101" s="1153"/>
      <c r="CU101" s="1153"/>
      <c r="CV101" s="909">
        <f t="shared" si="260"/>
        <v>0</v>
      </c>
      <c r="CW101" s="909"/>
      <c r="CX101" s="909"/>
      <c r="CY101" s="909"/>
      <c r="CZ101" s="909"/>
      <c r="DA101" s="909"/>
      <c r="DB101" s="909"/>
      <c r="DC101" s="1160">
        <f t="shared" si="295"/>
        <v>0</v>
      </c>
      <c r="DD101" s="1160">
        <f t="shared" si="296"/>
        <v>0</v>
      </c>
      <c r="DE101" s="1160">
        <f t="shared" si="296"/>
        <v>0</v>
      </c>
      <c r="DF101" s="916">
        <f t="shared" si="297"/>
        <v>0</v>
      </c>
      <c r="DG101" s="916"/>
      <c r="DH101" s="916"/>
      <c r="DI101" s="909"/>
      <c r="DJ101" s="909"/>
      <c r="DK101" s="909">
        <f t="shared" si="262"/>
        <v>0</v>
      </c>
      <c r="DL101" s="909"/>
      <c r="DM101" s="916"/>
      <c r="DN101" s="1141">
        <f t="shared" si="298"/>
        <v>0</v>
      </c>
      <c r="DO101" s="1141">
        <f t="shared" si="298"/>
        <v>0</v>
      </c>
      <c r="DP101" s="916">
        <f t="shared" si="299"/>
        <v>0</v>
      </c>
      <c r="DQ101" s="916">
        <f t="shared" si="293"/>
        <v>0</v>
      </c>
      <c r="DR101" s="451"/>
      <c r="DS101" s="451"/>
      <c r="DT101" s="919"/>
      <c r="DU101" s="919"/>
      <c r="DV101" s="919"/>
    </row>
    <row r="102" spans="1:126" ht="15" hidden="1" customHeight="1">
      <c r="A102" s="380" t="s">
        <v>780</v>
      </c>
      <c r="B102" s="380"/>
      <c r="C102" s="1153"/>
      <c r="D102" s="1153"/>
      <c r="E102" s="909">
        <f t="shared" si="241"/>
        <v>0</v>
      </c>
      <c r="F102" s="909"/>
      <c r="G102" s="909"/>
      <c r="H102" s="1153"/>
      <c r="I102" s="1153"/>
      <c r="J102" s="909">
        <f t="shared" si="242"/>
        <v>0</v>
      </c>
      <c r="K102" s="909"/>
      <c r="L102" s="909"/>
      <c r="M102" s="1153"/>
      <c r="N102" s="1153"/>
      <c r="O102" s="909">
        <f t="shared" si="243"/>
        <v>0</v>
      </c>
      <c r="P102" s="909"/>
      <c r="Q102" s="909"/>
      <c r="R102" s="1153"/>
      <c r="S102" s="1153"/>
      <c r="T102" s="914">
        <f t="shared" si="244"/>
        <v>0</v>
      </c>
      <c r="U102" s="914"/>
      <c r="V102" s="914"/>
      <c r="W102" s="914"/>
      <c r="X102" s="1153"/>
      <c r="Y102" s="914">
        <f t="shared" si="245"/>
        <v>0</v>
      </c>
      <c r="Z102" s="914"/>
      <c r="AA102" s="914"/>
      <c r="AB102" s="1153"/>
      <c r="AC102" s="1153"/>
      <c r="AD102" s="914">
        <f t="shared" si="246"/>
        <v>0</v>
      </c>
      <c r="AE102" s="914"/>
      <c r="AF102" s="914"/>
      <c r="AG102" s="1153"/>
      <c r="AH102" s="1153"/>
      <c r="AI102" s="914">
        <f t="shared" si="247"/>
        <v>0</v>
      </c>
      <c r="AJ102" s="914"/>
      <c r="AK102" s="914"/>
      <c r="AL102" s="1153"/>
      <c r="AM102" s="1153"/>
      <c r="AN102" s="909">
        <f t="shared" si="248"/>
        <v>0</v>
      </c>
      <c r="AO102" s="909"/>
      <c r="AP102" s="909"/>
      <c r="AQ102" s="909"/>
      <c r="AR102" s="909"/>
      <c r="AS102" s="909">
        <f t="shared" si="249"/>
        <v>0</v>
      </c>
      <c r="AT102" s="909"/>
      <c r="AU102" s="909"/>
      <c r="AV102" s="1153"/>
      <c r="AW102" s="1153"/>
      <c r="AX102" s="914">
        <f t="shared" si="250"/>
        <v>0</v>
      </c>
      <c r="AY102" s="914"/>
      <c r="AZ102" s="914"/>
      <c r="BA102" s="909"/>
      <c r="BB102" s="909"/>
      <c r="BC102" s="914">
        <f t="shared" si="251"/>
        <v>0</v>
      </c>
      <c r="BD102" s="914"/>
      <c r="BE102" s="914"/>
      <c r="BF102" s="1160">
        <f t="shared" si="264"/>
        <v>0</v>
      </c>
      <c r="BG102" s="1160">
        <f t="shared" si="265"/>
        <v>0</v>
      </c>
      <c r="BH102" s="916">
        <f t="shared" si="294"/>
        <v>0</v>
      </c>
      <c r="BI102" s="916">
        <f t="shared" si="292"/>
        <v>0</v>
      </c>
      <c r="BJ102" s="909"/>
      <c r="BK102" s="1153"/>
      <c r="BL102" s="1153"/>
      <c r="BM102" s="909">
        <f t="shared" si="253"/>
        <v>0</v>
      </c>
      <c r="BN102" s="909"/>
      <c r="BO102" s="909"/>
      <c r="BP102" s="1153"/>
      <c r="BQ102" s="1153"/>
      <c r="BR102" s="909">
        <f t="shared" si="254"/>
        <v>0</v>
      </c>
      <c r="BS102" s="909"/>
      <c r="BT102" s="909"/>
      <c r="BU102" s="1153"/>
      <c r="BV102" s="1153"/>
      <c r="BW102" s="909">
        <f t="shared" si="255"/>
        <v>0</v>
      </c>
      <c r="BX102" s="909"/>
      <c r="BY102" s="909"/>
      <c r="BZ102" s="1153"/>
      <c r="CA102" s="1153"/>
      <c r="CB102" s="909">
        <f t="shared" si="256"/>
        <v>0</v>
      </c>
      <c r="CC102" s="909"/>
      <c r="CD102" s="909"/>
      <c r="CE102" s="1153"/>
      <c r="CF102" s="1153"/>
      <c r="CG102" s="909">
        <f t="shared" si="257"/>
        <v>0</v>
      </c>
      <c r="CH102" s="909"/>
      <c r="CI102" s="909"/>
      <c r="CJ102" s="1153"/>
      <c r="CK102" s="1153"/>
      <c r="CL102" s="909">
        <f t="shared" si="258"/>
        <v>0</v>
      </c>
      <c r="CM102" s="909"/>
      <c r="CN102" s="909"/>
      <c r="CO102" s="1153"/>
      <c r="CP102" s="1153"/>
      <c r="CQ102" s="909">
        <f t="shared" si="259"/>
        <v>0</v>
      </c>
      <c r="CR102" s="909"/>
      <c r="CS102" s="909"/>
      <c r="CT102" s="1153"/>
      <c r="CU102" s="1153"/>
      <c r="CV102" s="909">
        <f t="shared" si="260"/>
        <v>0</v>
      </c>
      <c r="CW102" s="909"/>
      <c r="CX102" s="909"/>
      <c r="CY102" s="909"/>
      <c r="CZ102" s="909"/>
      <c r="DA102" s="909"/>
      <c r="DB102" s="909"/>
      <c r="DC102" s="1160">
        <f t="shared" si="295"/>
        <v>0</v>
      </c>
      <c r="DD102" s="1160">
        <f t="shared" si="296"/>
        <v>0</v>
      </c>
      <c r="DE102" s="1160">
        <f t="shared" si="296"/>
        <v>0</v>
      </c>
      <c r="DF102" s="916">
        <f t="shared" si="297"/>
        <v>0</v>
      </c>
      <c r="DG102" s="916"/>
      <c r="DH102" s="916"/>
      <c r="DI102" s="909"/>
      <c r="DJ102" s="909"/>
      <c r="DK102" s="909">
        <f t="shared" si="262"/>
        <v>0</v>
      </c>
      <c r="DL102" s="909"/>
      <c r="DM102" s="916"/>
      <c r="DN102" s="1141">
        <f t="shared" si="298"/>
        <v>0</v>
      </c>
      <c r="DO102" s="1141">
        <f t="shared" si="298"/>
        <v>0</v>
      </c>
      <c r="DP102" s="916">
        <f t="shared" si="299"/>
        <v>0</v>
      </c>
      <c r="DQ102" s="916">
        <f t="shared" si="293"/>
        <v>0</v>
      </c>
      <c r="DR102" s="451"/>
      <c r="DS102" s="451"/>
      <c r="DT102" s="919"/>
      <c r="DU102" s="919"/>
      <c r="DV102" s="919"/>
    </row>
    <row r="103" spans="1:126" s="956" customFormat="1" ht="15" customHeight="1">
      <c r="A103" s="1163" t="s">
        <v>781</v>
      </c>
      <c r="B103" s="1155">
        <f t="shared" ref="B103:AG103" si="300">SUM(B87:B102)</f>
        <v>0</v>
      </c>
      <c r="C103" s="1155">
        <f t="shared" si="300"/>
        <v>0</v>
      </c>
      <c r="D103" s="1155">
        <f t="shared" si="300"/>
        <v>0</v>
      </c>
      <c r="E103" s="1155">
        <f t="shared" si="300"/>
        <v>0</v>
      </c>
      <c r="F103" s="1155">
        <f t="shared" si="300"/>
        <v>0</v>
      </c>
      <c r="G103" s="1155">
        <f t="shared" si="300"/>
        <v>0</v>
      </c>
      <c r="H103" s="1155">
        <f t="shared" si="300"/>
        <v>0</v>
      </c>
      <c r="I103" s="1155">
        <f t="shared" si="300"/>
        <v>0</v>
      </c>
      <c r="J103" s="1155">
        <f t="shared" si="300"/>
        <v>0</v>
      </c>
      <c r="K103" s="1155">
        <f t="shared" si="300"/>
        <v>0</v>
      </c>
      <c r="L103" s="1155">
        <f t="shared" si="300"/>
        <v>0</v>
      </c>
      <c r="M103" s="1155">
        <f t="shared" si="300"/>
        <v>0</v>
      </c>
      <c r="N103" s="1155">
        <f t="shared" si="300"/>
        <v>0</v>
      </c>
      <c r="O103" s="1155">
        <f t="shared" si="300"/>
        <v>0</v>
      </c>
      <c r="P103" s="1155">
        <f t="shared" si="300"/>
        <v>0</v>
      </c>
      <c r="Q103" s="1155">
        <f t="shared" si="300"/>
        <v>0</v>
      </c>
      <c r="R103" s="1155">
        <f t="shared" si="300"/>
        <v>0</v>
      </c>
      <c r="S103" s="1155">
        <f t="shared" si="300"/>
        <v>0</v>
      </c>
      <c r="T103" s="1155">
        <f t="shared" si="300"/>
        <v>0</v>
      </c>
      <c r="U103" s="1155">
        <f t="shared" si="300"/>
        <v>0</v>
      </c>
      <c r="V103" s="1155">
        <f t="shared" si="300"/>
        <v>0</v>
      </c>
      <c r="W103" s="1155">
        <f t="shared" si="300"/>
        <v>0</v>
      </c>
      <c r="X103" s="1155">
        <f t="shared" si="300"/>
        <v>0</v>
      </c>
      <c r="Y103" s="1155">
        <f t="shared" si="300"/>
        <v>0</v>
      </c>
      <c r="Z103" s="1155">
        <f t="shared" si="300"/>
        <v>0</v>
      </c>
      <c r="AA103" s="1155">
        <f t="shared" si="300"/>
        <v>0</v>
      </c>
      <c r="AB103" s="1155">
        <f t="shared" si="300"/>
        <v>0</v>
      </c>
      <c r="AC103" s="1155">
        <f t="shared" si="300"/>
        <v>0</v>
      </c>
      <c r="AD103" s="1155">
        <f t="shared" si="300"/>
        <v>0</v>
      </c>
      <c r="AE103" s="1155">
        <f t="shared" si="300"/>
        <v>0</v>
      </c>
      <c r="AF103" s="1155">
        <f t="shared" si="300"/>
        <v>0</v>
      </c>
      <c r="AG103" s="1155">
        <f t="shared" si="300"/>
        <v>0</v>
      </c>
      <c r="AH103" s="1155">
        <f t="shared" ref="AH103:BM103" si="301">SUM(AH87:AH102)</f>
        <v>0</v>
      </c>
      <c r="AI103" s="1155">
        <f t="shared" si="301"/>
        <v>0</v>
      </c>
      <c r="AJ103" s="1155">
        <f t="shared" si="301"/>
        <v>0</v>
      </c>
      <c r="AK103" s="1155">
        <f t="shared" si="301"/>
        <v>0</v>
      </c>
      <c r="AL103" s="1155">
        <f t="shared" si="301"/>
        <v>0</v>
      </c>
      <c r="AM103" s="1155">
        <f t="shared" si="301"/>
        <v>0</v>
      </c>
      <c r="AN103" s="1155">
        <f t="shared" si="301"/>
        <v>0</v>
      </c>
      <c r="AO103" s="1155">
        <f t="shared" si="301"/>
        <v>0</v>
      </c>
      <c r="AP103" s="1155">
        <f t="shared" si="301"/>
        <v>0</v>
      </c>
      <c r="AQ103" s="1155">
        <f t="shared" si="301"/>
        <v>0</v>
      </c>
      <c r="AR103" s="1155">
        <f t="shared" si="301"/>
        <v>0</v>
      </c>
      <c r="AS103" s="1155">
        <f t="shared" si="301"/>
        <v>0</v>
      </c>
      <c r="AT103" s="1155">
        <f t="shared" si="301"/>
        <v>0</v>
      </c>
      <c r="AU103" s="1155">
        <f t="shared" si="301"/>
        <v>0</v>
      </c>
      <c r="AV103" s="1155">
        <f t="shared" si="301"/>
        <v>0</v>
      </c>
      <c r="AW103" s="1155">
        <f t="shared" si="301"/>
        <v>0</v>
      </c>
      <c r="AX103" s="1155">
        <f t="shared" si="301"/>
        <v>0</v>
      </c>
      <c r="AY103" s="1155">
        <f t="shared" si="301"/>
        <v>0</v>
      </c>
      <c r="AZ103" s="1155">
        <f t="shared" si="301"/>
        <v>0</v>
      </c>
      <c r="BA103" s="1155">
        <f t="shared" si="301"/>
        <v>0</v>
      </c>
      <c r="BB103" s="1155">
        <f t="shared" si="301"/>
        <v>0</v>
      </c>
      <c r="BC103" s="1155">
        <f t="shared" si="301"/>
        <v>0</v>
      </c>
      <c r="BD103" s="1155">
        <f t="shared" si="301"/>
        <v>0</v>
      </c>
      <c r="BE103" s="1155">
        <f t="shared" si="301"/>
        <v>0</v>
      </c>
      <c r="BF103" s="1155">
        <f t="shared" si="301"/>
        <v>0</v>
      </c>
      <c r="BG103" s="1155">
        <f t="shared" si="301"/>
        <v>0</v>
      </c>
      <c r="BH103" s="1155">
        <f t="shared" si="301"/>
        <v>0</v>
      </c>
      <c r="BI103" s="1155">
        <f t="shared" si="301"/>
        <v>0</v>
      </c>
      <c r="BJ103" s="1154">
        <f t="shared" si="301"/>
        <v>0</v>
      </c>
      <c r="BK103" s="1155">
        <f t="shared" si="301"/>
        <v>0</v>
      </c>
      <c r="BL103" s="1155">
        <f t="shared" si="301"/>
        <v>0</v>
      </c>
      <c r="BM103" s="1155">
        <f t="shared" si="301"/>
        <v>0</v>
      </c>
      <c r="BN103" s="1155">
        <f t="shared" ref="BN103:CS103" si="302">SUM(BN87:BN102)</f>
        <v>0</v>
      </c>
      <c r="BO103" s="1155">
        <f t="shared" si="302"/>
        <v>0</v>
      </c>
      <c r="BP103" s="1155">
        <f t="shared" si="302"/>
        <v>0</v>
      </c>
      <c r="BQ103" s="1155">
        <f t="shared" si="302"/>
        <v>0</v>
      </c>
      <c r="BR103" s="1155">
        <f t="shared" si="302"/>
        <v>0</v>
      </c>
      <c r="BS103" s="1155">
        <f t="shared" si="302"/>
        <v>0</v>
      </c>
      <c r="BT103" s="1155">
        <f t="shared" si="302"/>
        <v>0</v>
      </c>
      <c r="BU103" s="1155">
        <f t="shared" si="302"/>
        <v>0</v>
      </c>
      <c r="BV103" s="1155">
        <f t="shared" si="302"/>
        <v>0</v>
      </c>
      <c r="BW103" s="1155">
        <f t="shared" si="302"/>
        <v>0</v>
      </c>
      <c r="BX103" s="1155">
        <f t="shared" si="302"/>
        <v>0</v>
      </c>
      <c r="BY103" s="1155">
        <f t="shared" si="302"/>
        <v>0</v>
      </c>
      <c r="BZ103" s="1155">
        <f t="shared" si="302"/>
        <v>0</v>
      </c>
      <c r="CA103" s="1155">
        <f t="shared" si="302"/>
        <v>0</v>
      </c>
      <c r="CB103" s="1155">
        <f t="shared" si="302"/>
        <v>0</v>
      </c>
      <c r="CC103" s="1155">
        <f t="shared" si="302"/>
        <v>0</v>
      </c>
      <c r="CD103" s="1155">
        <f t="shared" si="302"/>
        <v>0</v>
      </c>
      <c r="CE103" s="1155">
        <f t="shared" si="302"/>
        <v>0</v>
      </c>
      <c r="CF103" s="1155">
        <f t="shared" si="302"/>
        <v>0</v>
      </c>
      <c r="CG103" s="1155">
        <f t="shared" si="302"/>
        <v>0</v>
      </c>
      <c r="CH103" s="1155">
        <f t="shared" si="302"/>
        <v>0</v>
      </c>
      <c r="CI103" s="1155">
        <f t="shared" si="302"/>
        <v>0</v>
      </c>
      <c r="CJ103" s="1155">
        <f t="shared" si="302"/>
        <v>0</v>
      </c>
      <c r="CK103" s="1155">
        <f t="shared" si="302"/>
        <v>0</v>
      </c>
      <c r="CL103" s="1155">
        <f t="shared" si="302"/>
        <v>0</v>
      </c>
      <c r="CM103" s="1155">
        <f t="shared" si="302"/>
        <v>0</v>
      </c>
      <c r="CN103" s="1155">
        <f t="shared" si="302"/>
        <v>0</v>
      </c>
      <c r="CO103" s="1155">
        <f t="shared" si="302"/>
        <v>0</v>
      </c>
      <c r="CP103" s="1155">
        <f t="shared" si="302"/>
        <v>0</v>
      </c>
      <c r="CQ103" s="1155">
        <f t="shared" si="302"/>
        <v>0</v>
      </c>
      <c r="CR103" s="1155">
        <f t="shared" si="302"/>
        <v>0</v>
      </c>
      <c r="CS103" s="1155">
        <f t="shared" si="302"/>
        <v>0</v>
      </c>
      <c r="CT103" s="1155">
        <f>SUM(CT87:CT102)</f>
        <v>0</v>
      </c>
      <c r="CU103" s="1155">
        <f>SUM(CU87:CU102)</f>
        <v>0</v>
      </c>
      <c r="CV103" s="1155">
        <f>SUM(CV87:CV102)</f>
        <v>0</v>
      </c>
      <c r="CW103" s="1155">
        <f>SUM(CW87:CW102)</f>
        <v>0</v>
      </c>
      <c r="CX103" s="1155"/>
      <c r="CY103" s="1155"/>
      <c r="CZ103" s="1155"/>
      <c r="DA103" s="1155">
        <v>0</v>
      </c>
      <c r="DB103" s="1155"/>
      <c r="DC103" s="1155">
        <f t="shared" ref="DC103:DQ103" si="303">SUM(DC87:DC102)</f>
        <v>0</v>
      </c>
      <c r="DD103" s="1155">
        <f t="shared" si="303"/>
        <v>0</v>
      </c>
      <c r="DE103" s="1155">
        <f t="shared" si="303"/>
        <v>0</v>
      </c>
      <c r="DF103" s="1155">
        <f t="shared" si="303"/>
        <v>0</v>
      </c>
      <c r="DG103" s="1155">
        <f t="shared" si="303"/>
        <v>0</v>
      </c>
      <c r="DH103" s="1155">
        <f t="shared" si="303"/>
        <v>0</v>
      </c>
      <c r="DI103" s="1155">
        <f t="shared" si="303"/>
        <v>0</v>
      </c>
      <c r="DJ103" s="1155">
        <f t="shared" si="303"/>
        <v>0</v>
      </c>
      <c r="DK103" s="1155">
        <f t="shared" si="303"/>
        <v>0</v>
      </c>
      <c r="DL103" s="1155">
        <f t="shared" si="303"/>
        <v>0</v>
      </c>
      <c r="DM103" s="1155">
        <f t="shared" si="303"/>
        <v>0</v>
      </c>
      <c r="DN103" s="1155">
        <f t="shared" si="303"/>
        <v>0</v>
      </c>
      <c r="DO103" s="1155">
        <f t="shared" si="303"/>
        <v>0</v>
      </c>
      <c r="DP103" s="1155">
        <f t="shared" si="303"/>
        <v>0</v>
      </c>
      <c r="DQ103" s="1155">
        <f t="shared" si="303"/>
        <v>0</v>
      </c>
      <c r="DR103" s="1150"/>
      <c r="DS103" s="1150"/>
    </row>
    <row r="104" spans="1:126" s="956" customFormat="1" ht="15" customHeight="1">
      <c r="A104" s="1164" t="s">
        <v>782</v>
      </c>
      <c r="B104" s="1165">
        <f t="shared" ref="B104:AG104" si="304">SUM(B86+B103)</f>
        <v>0</v>
      </c>
      <c r="C104" s="1165">
        <f t="shared" si="304"/>
        <v>0</v>
      </c>
      <c r="D104" s="1165">
        <f t="shared" si="304"/>
        <v>0</v>
      </c>
      <c r="E104" s="1165">
        <f t="shared" si="304"/>
        <v>0</v>
      </c>
      <c r="F104" s="1165">
        <f t="shared" si="304"/>
        <v>0</v>
      </c>
      <c r="G104" s="1165">
        <f t="shared" si="304"/>
        <v>718448000</v>
      </c>
      <c r="H104" s="1165">
        <f t="shared" si="304"/>
        <v>718448000</v>
      </c>
      <c r="I104" s="1165">
        <f t="shared" si="304"/>
        <v>0</v>
      </c>
      <c r="J104" s="1165">
        <f t="shared" si="304"/>
        <v>728058812</v>
      </c>
      <c r="K104" s="1165">
        <f t="shared" si="304"/>
        <v>687808311</v>
      </c>
      <c r="L104" s="1165">
        <f t="shared" si="304"/>
        <v>0</v>
      </c>
      <c r="M104" s="1165">
        <f t="shared" si="304"/>
        <v>0</v>
      </c>
      <c r="N104" s="1165">
        <f t="shared" si="304"/>
        <v>0</v>
      </c>
      <c r="O104" s="1165">
        <f t="shared" si="304"/>
        <v>0</v>
      </c>
      <c r="P104" s="1165">
        <f t="shared" si="304"/>
        <v>0</v>
      </c>
      <c r="Q104" s="1165">
        <f t="shared" si="304"/>
        <v>0</v>
      </c>
      <c r="R104" s="1165">
        <f t="shared" si="304"/>
        <v>0</v>
      </c>
      <c r="S104" s="1165">
        <f t="shared" si="304"/>
        <v>0</v>
      </c>
      <c r="T104" s="1165">
        <f t="shared" si="304"/>
        <v>0</v>
      </c>
      <c r="U104" s="1165">
        <f t="shared" si="304"/>
        <v>0</v>
      </c>
      <c r="V104" s="1165">
        <f t="shared" si="304"/>
        <v>0</v>
      </c>
      <c r="W104" s="1165">
        <f t="shared" si="304"/>
        <v>0</v>
      </c>
      <c r="X104" s="1165">
        <f t="shared" si="304"/>
        <v>0</v>
      </c>
      <c r="Y104" s="1165">
        <f t="shared" si="304"/>
        <v>0</v>
      </c>
      <c r="Z104" s="1165">
        <f t="shared" si="304"/>
        <v>0</v>
      </c>
      <c r="AA104" s="1165">
        <f t="shared" si="304"/>
        <v>0</v>
      </c>
      <c r="AB104" s="1165">
        <f t="shared" si="304"/>
        <v>0</v>
      </c>
      <c r="AC104" s="1165">
        <f t="shared" si="304"/>
        <v>0</v>
      </c>
      <c r="AD104" s="1165">
        <f t="shared" si="304"/>
        <v>0</v>
      </c>
      <c r="AE104" s="1165">
        <f t="shared" si="304"/>
        <v>0</v>
      </c>
      <c r="AF104" s="1165">
        <f t="shared" si="304"/>
        <v>0</v>
      </c>
      <c r="AG104" s="1165">
        <f t="shared" si="304"/>
        <v>0</v>
      </c>
      <c r="AH104" s="1165">
        <f t="shared" ref="AH104:BH104" si="305">SUM(AH86+AH103)</f>
        <v>0</v>
      </c>
      <c r="AI104" s="1165">
        <f t="shared" si="305"/>
        <v>0</v>
      </c>
      <c r="AJ104" s="1165">
        <f t="shared" si="305"/>
        <v>0</v>
      </c>
      <c r="AK104" s="1165">
        <f t="shared" si="305"/>
        <v>0</v>
      </c>
      <c r="AL104" s="1165">
        <f t="shared" si="305"/>
        <v>0</v>
      </c>
      <c r="AM104" s="1165">
        <f t="shared" si="305"/>
        <v>0</v>
      </c>
      <c r="AN104" s="1165">
        <f t="shared" si="305"/>
        <v>0</v>
      </c>
      <c r="AO104" s="1165">
        <f t="shared" si="305"/>
        <v>0</v>
      </c>
      <c r="AP104" s="1165">
        <f t="shared" si="305"/>
        <v>0</v>
      </c>
      <c r="AQ104" s="1165">
        <f t="shared" si="305"/>
        <v>0</v>
      </c>
      <c r="AR104" s="1165">
        <f t="shared" si="305"/>
        <v>0</v>
      </c>
      <c r="AS104" s="1165">
        <f t="shared" si="305"/>
        <v>0</v>
      </c>
      <c r="AT104" s="1165">
        <f t="shared" si="305"/>
        <v>0</v>
      </c>
      <c r="AU104" s="1165">
        <f t="shared" si="305"/>
        <v>0</v>
      </c>
      <c r="AV104" s="1165">
        <f t="shared" si="305"/>
        <v>0</v>
      </c>
      <c r="AW104" s="1165">
        <f t="shared" si="305"/>
        <v>0</v>
      </c>
      <c r="AX104" s="1165">
        <f t="shared" si="305"/>
        <v>0</v>
      </c>
      <c r="AY104" s="1165">
        <f t="shared" si="305"/>
        <v>0</v>
      </c>
      <c r="AZ104" s="1165">
        <f t="shared" si="305"/>
        <v>0</v>
      </c>
      <c r="BA104" s="1165">
        <f t="shared" si="305"/>
        <v>0</v>
      </c>
      <c r="BB104" s="1165">
        <f t="shared" si="305"/>
        <v>0</v>
      </c>
      <c r="BC104" s="1165">
        <f t="shared" si="305"/>
        <v>0</v>
      </c>
      <c r="BD104" s="1165">
        <f t="shared" si="305"/>
        <v>0</v>
      </c>
      <c r="BE104" s="1165">
        <f t="shared" si="305"/>
        <v>718448000</v>
      </c>
      <c r="BF104" s="1165">
        <f t="shared" si="305"/>
        <v>718448000</v>
      </c>
      <c r="BG104" s="1165">
        <f t="shared" si="305"/>
        <v>0</v>
      </c>
      <c r="BH104" s="1165">
        <f t="shared" si="305"/>
        <v>728058812</v>
      </c>
      <c r="BI104" s="1165">
        <f t="shared" ref="BI104:BN104" si="306">SUM(BI86+BI103)</f>
        <v>687808311</v>
      </c>
      <c r="BJ104" s="1165">
        <f t="shared" si="306"/>
        <v>0</v>
      </c>
      <c r="BK104" s="1165">
        <f t="shared" si="306"/>
        <v>0</v>
      </c>
      <c r="BL104" s="1165">
        <f t="shared" si="306"/>
        <v>0</v>
      </c>
      <c r="BM104" s="1165">
        <f t="shared" si="306"/>
        <v>0</v>
      </c>
      <c r="BN104" s="1165">
        <f t="shared" si="306"/>
        <v>0</v>
      </c>
      <c r="BO104" s="1165">
        <f t="shared" ref="BO104:CS104" si="307">SUM(BO86+BO103)</f>
        <v>0</v>
      </c>
      <c r="BP104" s="1165">
        <f t="shared" si="307"/>
        <v>0</v>
      </c>
      <c r="BQ104" s="1165">
        <f t="shared" si="307"/>
        <v>5671681</v>
      </c>
      <c r="BR104" s="1165">
        <f t="shared" si="307"/>
        <v>5671681</v>
      </c>
      <c r="BS104" s="1165">
        <f t="shared" si="307"/>
        <v>5671681</v>
      </c>
      <c r="BT104" s="1165">
        <f t="shared" si="307"/>
        <v>67455000</v>
      </c>
      <c r="BU104" s="1165">
        <f t="shared" si="307"/>
        <v>67455000</v>
      </c>
      <c r="BV104" s="1165">
        <f t="shared" si="307"/>
        <v>-1083334</v>
      </c>
      <c r="BW104" s="1165">
        <f t="shared" si="307"/>
        <v>66371666</v>
      </c>
      <c r="BX104" s="1165">
        <f t="shared" si="307"/>
        <v>66371666</v>
      </c>
      <c r="BY104" s="1165">
        <f t="shared" si="307"/>
        <v>0</v>
      </c>
      <c r="BZ104" s="1165">
        <f t="shared" si="307"/>
        <v>0</v>
      </c>
      <c r="CA104" s="1165">
        <f t="shared" si="307"/>
        <v>0</v>
      </c>
      <c r="CB104" s="1165">
        <f t="shared" si="307"/>
        <v>0</v>
      </c>
      <c r="CC104" s="1165">
        <f t="shared" si="307"/>
        <v>0</v>
      </c>
      <c r="CD104" s="1165">
        <f t="shared" si="307"/>
        <v>0</v>
      </c>
      <c r="CE104" s="1165">
        <f t="shared" si="307"/>
        <v>0</v>
      </c>
      <c r="CF104" s="1165">
        <f t="shared" si="307"/>
        <v>0</v>
      </c>
      <c r="CG104" s="1165">
        <f t="shared" si="307"/>
        <v>0</v>
      </c>
      <c r="CH104" s="1165">
        <f t="shared" si="307"/>
        <v>0</v>
      </c>
      <c r="CI104" s="1165">
        <f t="shared" si="307"/>
        <v>0</v>
      </c>
      <c r="CJ104" s="1165">
        <f t="shared" si="307"/>
        <v>0</v>
      </c>
      <c r="CK104" s="1165">
        <f t="shared" si="307"/>
        <v>0</v>
      </c>
      <c r="CL104" s="1165">
        <f t="shared" si="307"/>
        <v>0</v>
      </c>
      <c r="CM104" s="1165">
        <f t="shared" si="307"/>
        <v>0</v>
      </c>
      <c r="CN104" s="1165">
        <f t="shared" si="307"/>
        <v>0</v>
      </c>
      <c r="CO104" s="1165">
        <f t="shared" si="307"/>
        <v>0</v>
      </c>
      <c r="CP104" s="1165">
        <f t="shared" si="307"/>
        <v>0</v>
      </c>
      <c r="CQ104" s="1165">
        <f t="shared" si="307"/>
        <v>0</v>
      </c>
      <c r="CR104" s="1165">
        <f t="shared" si="307"/>
        <v>0</v>
      </c>
      <c r="CS104" s="1165">
        <f t="shared" si="307"/>
        <v>0</v>
      </c>
      <c r="CT104" s="1165">
        <f>SUM(CT86+CT103)</f>
        <v>0</v>
      </c>
      <c r="CU104" s="1165">
        <f>SUM(CU86+CU103)</f>
        <v>0</v>
      </c>
      <c r="CV104" s="1165">
        <f>SUM(CV86+CV103)</f>
        <v>0</v>
      </c>
      <c r="CW104" s="1165">
        <f>SUM(CW86+CW103)</f>
        <v>0</v>
      </c>
      <c r="CX104" s="1165"/>
      <c r="CY104" s="1165"/>
      <c r="CZ104" s="1165"/>
      <c r="DA104" s="1165">
        <f>SUM(DA86+DA103)</f>
        <v>4000000</v>
      </c>
      <c r="DB104" s="1165">
        <f>SUM(DB86+DB103)</f>
        <v>4000000</v>
      </c>
      <c r="DC104" s="1165">
        <f t="shared" ref="DC104:DQ104" si="308">SUM(DC86+DC103)</f>
        <v>67455000</v>
      </c>
      <c r="DD104" s="1165">
        <f t="shared" si="308"/>
        <v>67455000</v>
      </c>
      <c r="DE104" s="1165">
        <f t="shared" si="308"/>
        <v>4588347</v>
      </c>
      <c r="DF104" s="1165">
        <f t="shared" si="308"/>
        <v>76043347</v>
      </c>
      <c r="DG104" s="1165">
        <f t="shared" si="308"/>
        <v>76043347</v>
      </c>
      <c r="DH104" s="1165">
        <f t="shared" si="308"/>
        <v>0</v>
      </c>
      <c r="DI104" s="1165">
        <f t="shared" si="308"/>
        <v>0</v>
      </c>
      <c r="DJ104" s="1165">
        <f t="shared" si="308"/>
        <v>0</v>
      </c>
      <c r="DK104" s="1165">
        <f t="shared" si="308"/>
        <v>0</v>
      </c>
      <c r="DL104" s="1165">
        <f t="shared" si="308"/>
        <v>0</v>
      </c>
      <c r="DM104" s="1165">
        <f t="shared" si="308"/>
        <v>785903000</v>
      </c>
      <c r="DN104" s="1165">
        <f t="shared" si="308"/>
        <v>785903000</v>
      </c>
      <c r="DO104" s="1165">
        <f t="shared" si="308"/>
        <v>4588347</v>
      </c>
      <c r="DP104" s="1165">
        <f t="shared" si="308"/>
        <v>804102159</v>
      </c>
      <c r="DQ104" s="1165">
        <f t="shared" si="308"/>
        <v>763851658</v>
      </c>
      <c r="DR104" s="1150"/>
      <c r="DS104" s="1150"/>
    </row>
    <row r="105" spans="1:126" s="380" customFormat="1" ht="13.5" hidden="1" customHeight="1">
      <c r="A105" s="1166" t="s">
        <v>833</v>
      </c>
      <c r="B105" s="1167"/>
      <c r="C105" s="1167"/>
      <c r="D105" s="1167"/>
      <c r="E105" s="1167">
        <f>SUM(C105+D105)</f>
        <v>0</v>
      </c>
      <c r="F105" s="943">
        <f>C105-B105</f>
        <v>0</v>
      </c>
      <c r="G105" s="1167"/>
      <c r="H105" s="1167"/>
      <c r="I105" s="1167"/>
      <c r="J105" s="1167">
        <f>SUM(H105+I105)</f>
        <v>0</v>
      </c>
      <c r="K105" s="943">
        <f>H105-G105</f>
        <v>0</v>
      </c>
      <c r="L105" s="1167"/>
      <c r="M105" s="1167"/>
      <c r="N105" s="1167"/>
      <c r="O105" s="1167">
        <f>SUM(M105+N105)</f>
        <v>0</v>
      </c>
      <c r="P105" s="943">
        <f>M105-L105</f>
        <v>0</v>
      </c>
      <c r="Q105" s="1167"/>
      <c r="R105" s="1167"/>
      <c r="S105" s="1167"/>
      <c r="T105" s="1167">
        <f>SUM(R105+S105)</f>
        <v>0</v>
      </c>
      <c r="U105" s="943">
        <f>R105-Q105</f>
        <v>0</v>
      </c>
      <c r="V105" s="1167"/>
      <c r="W105" s="1167"/>
      <c r="X105" s="1167"/>
      <c r="Y105" s="1167">
        <f>SUM(W105+X105)</f>
        <v>0</v>
      </c>
      <c r="Z105" s="943">
        <f>W105-V105</f>
        <v>0</v>
      </c>
      <c r="AA105" s="1167"/>
      <c r="AB105" s="1167"/>
      <c r="AC105" s="1167"/>
      <c r="AD105" s="1167">
        <f>SUM(AB105+AC105)</f>
        <v>0</v>
      </c>
      <c r="AE105" s="943">
        <f>AB105-AA105</f>
        <v>0</v>
      </c>
      <c r="AF105" s="1167"/>
      <c r="AG105" s="1167"/>
      <c r="AH105" s="1167"/>
      <c r="AI105" s="1167">
        <f>SUM(AG105+AH105)</f>
        <v>0</v>
      </c>
      <c r="AJ105" s="943">
        <f>AG105-AF105</f>
        <v>0</v>
      </c>
      <c r="AK105" s="1167"/>
      <c r="AL105" s="1167"/>
      <c r="AM105" s="1167"/>
      <c r="AN105" s="1167">
        <f>SUM(AL105+AM105)</f>
        <v>0</v>
      </c>
      <c r="AO105" s="943">
        <f>AL105-AK105</f>
        <v>0</v>
      </c>
      <c r="AP105" s="1167"/>
      <c r="AQ105" s="1167"/>
      <c r="AR105" s="1167"/>
      <c r="AS105" s="1167">
        <f>SUM(AQ105+AR105)</f>
        <v>0</v>
      </c>
      <c r="AT105" s="943">
        <f>AQ105-AP105</f>
        <v>0</v>
      </c>
      <c r="AU105" s="1167"/>
      <c r="AV105" s="1167"/>
      <c r="AW105" s="1167"/>
      <c r="AX105" s="1167">
        <f>SUM(AV105+AW105)</f>
        <v>0</v>
      </c>
      <c r="AY105" s="943">
        <f>AV105-AU105</f>
        <v>0</v>
      </c>
      <c r="AZ105" s="1167"/>
      <c r="BA105" s="1167"/>
      <c r="BB105" s="1167"/>
      <c r="BC105" s="1167">
        <f>SUM(BA105+BB105)</f>
        <v>0</v>
      </c>
      <c r="BD105" s="943">
        <f>BA105-AZ105</f>
        <v>0</v>
      </c>
      <c r="BE105" s="1141">
        <f t="shared" ref="BE105:BG106" si="309">B105+G105+L105+Q105+V105+AA105+AF105+AK105+AP105+AU105+AZ105</f>
        <v>0</v>
      </c>
      <c r="BF105" s="1141">
        <f t="shared" si="309"/>
        <v>0</v>
      </c>
      <c r="BG105" s="1141">
        <f t="shared" si="309"/>
        <v>0</v>
      </c>
      <c r="BH105" s="1141">
        <f>SUM(BF105+BG105)</f>
        <v>0</v>
      </c>
      <c r="BI105" s="1141">
        <f>BF105-BE105</f>
        <v>0</v>
      </c>
      <c r="BJ105" s="1167"/>
      <c r="BK105" s="1167"/>
      <c r="BL105" s="1167"/>
      <c r="BM105" s="1167">
        <f>BK105+BL105</f>
        <v>0</v>
      </c>
      <c r="BN105" s="943">
        <f>BK105-BJ105</f>
        <v>0</v>
      </c>
      <c r="BO105" s="1167"/>
      <c r="BP105" s="1167"/>
      <c r="BQ105" s="1167"/>
      <c r="BR105" s="1167"/>
      <c r="BS105" s="943">
        <f>BP105-BO105</f>
        <v>0</v>
      </c>
      <c r="BT105" s="1167"/>
      <c r="BU105" s="1167"/>
      <c r="BV105" s="1167"/>
      <c r="BW105" s="1167">
        <f>BU105+BV105</f>
        <v>0</v>
      </c>
      <c r="BX105" s="943">
        <f>BU105-BT105</f>
        <v>0</v>
      </c>
      <c r="BY105" s="1167"/>
      <c r="BZ105" s="1167"/>
      <c r="CA105" s="1167"/>
      <c r="CB105" s="1167">
        <f>SUM(BZ105+CA105)</f>
        <v>0</v>
      </c>
      <c r="CC105" s="943">
        <f>BZ105-BY105</f>
        <v>0</v>
      </c>
      <c r="CD105" s="1167"/>
      <c r="CE105" s="1167"/>
      <c r="CF105" s="1167"/>
      <c r="CG105" s="1167">
        <f>SUM(CE105+CF105)</f>
        <v>0</v>
      </c>
      <c r="CH105" s="943">
        <f>CE105-CD105</f>
        <v>0</v>
      </c>
      <c r="CI105" s="1167"/>
      <c r="CJ105" s="1167"/>
      <c r="CK105" s="1167"/>
      <c r="CL105" s="1167">
        <f>SUM(CJ105+CK105)</f>
        <v>0</v>
      </c>
      <c r="CM105" s="943">
        <f>CJ105-CI105</f>
        <v>0</v>
      </c>
      <c r="CN105" s="1167"/>
      <c r="CO105" s="1167"/>
      <c r="CP105" s="1167"/>
      <c r="CQ105" s="1167">
        <f>SUM(CO105+CP105)</f>
        <v>0</v>
      </c>
      <c r="CR105" s="943">
        <f>CO105-CN105</f>
        <v>0</v>
      </c>
      <c r="CS105" s="1167"/>
      <c r="CT105" s="1167"/>
      <c r="CU105" s="1167"/>
      <c r="CV105" s="1167">
        <f>SUM(CT105+CU105)</f>
        <v>0</v>
      </c>
      <c r="CW105" s="943">
        <f>CT105-CS105</f>
        <v>0</v>
      </c>
      <c r="CX105" s="943"/>
      <c r="CY105" s="943"/>
      <c r="CZ105" s="943"/>
      <c r="DA105" s="943"/>
      <c r="DB105" s="943"/>
      <c r="DC105" s="1160">
        <f>BJ105+BO105+BT105+BY105+CD105+CI105+CN105++CS105</f>
        <v>0</v>
      </c>
      <c r="DD105" s="1160">
        <f>BK105+BP105+BU105+BX155+BZ105+CE105+CJ105+CO105+CT105</f>
        <v>0</v>
      </c>
      <c r="DE105" s="1160">
        <f>BL105+BQ105+BV105+CA105+CF105+CK105+CP105+CU105</f>
        <v>0</v>
      </c>
      <c r="DF105" s="1168">
        <f>SUM(DD105+DE105)</f>
        <v>0</v>
      </c>
      <c r="DG105" s="1141">
        <f>DD105-DC105</f>
        <v>0</v>
      </c>
      <c r="DH105" s="1168"/>
      <c r="DI105" s="1167"/>
      <c r="DJ105" s="1167"/>
      <c r="DK105" s="1167">
        <f>SUM(DI105+DJ105)</f>
        <v>0</v>
      </c>
      <c r="DL105" s="943">
        <f>DI105-DH105</f>
        <v>0</v>
      </c>
      <c r="DM105" s="1141">
        <f t="shared" ref="DM105:DO106" si="310">BE105+DC105+DH105</f>
        <v>0</v>
      </c>
      <c r="DN105" s="1141">
        <f t="shared" si="310"/>
        <v>0</v>
      </c>
      <c r="DO105" s="1141">
        <f t="shared" si="310"/>
        <v>0</v>
      </c>
      <c r="DP105" s="1169">
        <f>SUM(DN105:DO105)</f>
        <v>0</v>
      </c>
      <c r="DQ105" s="1150">
        <f>DN105-DM105</f>
        <v>0</v>
      </c>
      <c r="DR105" s="392"/>
      <c r="DS105" s="392"/>
    </row>
    <row r="106" spans="1:126" ht="13.5" hidden="1" customHeight="1">
      <c r="A106" s="1166" t="s">
        <v>834</v>
      </c>
      <c r="B106" s="1170">
        <f>B60-B104-B105</f>
        <v>174167000</v>
      </c>
      <c r="C106" s="1170">
        <f>C60-C104-C105</f>
        <v>194096128</v>
      </c>
      <c r="D106" s="1170">
        <f>D60-D104-D105</f>
        <v>734937</v>
      </c>
      <c r="E106" s="1171">
        <f>SUM(C106+D106)</f>
        <v>194831065</v>
      </c>
      <c r="F106" s="943">
        <f>C106-B106</f>
        <v>19929128</v>
      </c>
      <c r="G106" s="1170">
        <f>G60-G104-G105</f>
        <v>180060000</v>
      </c>
      <c r="H106" s="1170">
        <f>H60-H104-H105</f>
        <v>187079290</v>
      </c>
      <c r="I106" s="1170">
        <f>I60-I104-I105</f>
        <v>0</v>
      </c>
      <c r="J106" s="1171">
        <f>SUM(H106+I106)</f>
        <v>187079290</v>
      </c>
      <c r="K106" s="943">
        <f>H106-G106</f>
        <v>7019290</v>
      </c>
      <c r="L106" s="1170">
        <f>L60-L104-L105</f>
        <v>155234000</v>
      </c>
      <c r="M106" s="1170">
        <f>M60-M104-M105</f>
        <v>155234000</v>
      </c>
      <c r="N106" s="1170">
        <f>N60-N104-N105</f>
        <v>0</v>
      </c>
      <c r="O106" s="1171">
        <f>SUM(M106+N106)</f>
        <v>155234000</v>
      </c>
      <c r="P106" s="943">
        <f>M106-L106</f>
        <v>0</v>
      </c>
      <c r="Q106" s="1170">
        <f>Q60-Q104-Q105</f>
        <v>509705000</v>
      </c>
      <c r="R106" s="1170">
        <f>R60-R104-R105</f>
        <v>526479720</v>
      </c>
      <c r="S106" s="1170">
        <f>S60-S104-S105</f>
        <v>682719</v>
      </c>
      <c r="T106" s="1171">
        <f>SUM(R106+S106)</f>
        <v>527162439</v>
      </c>
      <c r="U106" s="943">
        <f>R106-Q106</f>
        <v>16774720</v>
      </c>
      <c r="V106" s="1170">
        <f>V60-V104-V105</f>
        <v>100226000</v>
      </c>
      <c r="W106" s="1171">
        <f>W60-W104-W105</f>
        <v>100226000</v>
      </c>
      <c r="X106" s="1170">
        <f>X60-X104-X105</f>
        <v>0</v>
      </c>
      <c r="Y106" s="1171">
        <f>SUM(W106+X106)</f>
        <v>100226000</v>
      </c>
      <c r="Z106" s="943">
        <f>W106-V106</f>
        <v>0</v>
      </c>
      <c r="AA106" s="1170">
        <f>AA60-AA104-AA105</f>
        <v>0</v>
      </c>
      <c r="AB106" s="1170">
        <f>AB60-AB104-AB105</f>
        <v>0</v>
      </c>
      <c r="AC106" s="1170">
        <f>AC60-AC104-AC105</f>
        <v>0</v>
      </c>
      <c r="AD106" s="1171">
        <f>SUM(AB106+AC106)</f>
        <v>0</v>
      </c>
      <c r="AE106" s="943">
        <f>AB106-AA106</f>
        <v>0</v>
      </c>
      <c r="AF106" s="1170">
        <f>AF60-AF104-AF105</f>
        <v>0</v>
      </c>
      <c r="AG106" s="1170">
        <f>AG60-AG104-AG105</f>
        <v>0</v>
      </c>
      <c r="AH106" s="1170">
        <f>AH60-AH104-AH105</f>
        <v>0</v>
      </c>
      <c r="AI106" s="1171">
        <f>SUM(AG106+AH106)</f>
        <v>0</v>
      </c>
      <c r="AJ106" s="943">
        <f>AG106-AF106</f>
        <v>0</v>
      </c>
      <c r="AK106" s="1170">
        <f>AK60-AK104-AK105</f>
        <v>0</v>
      </c>
      <c r="AL106" s="1170">
        <f>AL60-AL104-AL105</f>
        <v>0</v>
      </c>
      <c r="AM106" s="1170">
        <f>AM60-AM104-AM105</f>
        <v>0</v>
      </c>
      <c r="AN106" s="1171">
        <f>SUM(AL106+AM106)</f>
        <v>0</v>
      </c>
      <c r="AO106" s="943">
        <f>AL106-AK106</f>
        <v>0</v>
      </c>
      <c r="AP106" s="1170">
        <f>AP60-AP104-AP105</f>
        <v>0</v>
      </c>
      <c r="AQ106" s="1170">
        <f>AQ60-AQ104-AQ105</f>
        <v>0</v>
      </c>
      <c r="AR106" s="1170">
        <f>AR60-AR104-AR105</f>
        <v>0</v>
      </c>
      <c r="AS106" s="1171">
        <f>SUM(AQ106+AR106)</f>
        <v>0</v>
      </c>
      <c r="AT106" s="943">
        <f>AQ106-AP106</f>
        <v>0</v>
      </c>
      <c r="AU106" s="1170">
        <f>AU60-AU104-AU105</f>
        <v>0</v>
      </c>
      <c r="AV106" s="1170">
        <f>AV60-AV104-AV105</f>
        <v>0</v>
      </c>
      <c r="AW106" s="1170">
        <f>AW60-AW104-AW105</f>
        <v>0</v>
      </c>
      <c r="AX106" s="1171">
        <f>SUM(AV106+AW106)</f>
        <v>0</v>
      </c>
      <c r="AY106" s="943">
        <f>AV106-AU106</f>
        <v>0</v>
      </c>
      <c r="AZ106" s="1170">
        <f>AZ60-AZ104-AZ105</f>
        <v>0</v>
      </c>
      <c r="BA106" s="1170">
        <f>BA60-BA104-BA105</f>
        <v>0</v>
      </c>
      <c r="BB106" s="1170">
        <f>BB60-BB104-BB105</f>
        <v>0</v>
      </c>
      <c r="BC106" s="1171">
        <f>SUM(BA106+BB106)</f>
        <v>0</v>
      </c>
      <c r="BD106" s="943">
        <f>BA106-AZ106</f>
        <v>0</v>
      </c>
      <c r="BE106" s="1150">
        <f t="shared" si="309"/>
        <v>1119392000</v>
      </c>
      <c r="BF106" s="1150">
        <f t="shared" si="309"/>
        <v>1163115138</v>
      </c>
      <c r="BG106" s="1150">
        <f t="shared" si="309"/>
        <v>1417656</v>
      </c>
      <c r="BH106" s="916">
        <f>SUM(BF106+BG106)</f>
        <v>1164532794</v>
      </c>
      <c r="BI106" s="1141">
        <f>BF106-BE106</f>
        <v>43723138</v>
      </c>
      <c r="BJ106" s="1170">
        <f>BJ60-BJ104-BJ105</f>
        <v>0</v>
      </c>
      <c r="BK106" s="1170">
        <f>BK60-BK104-BK105</f>
        <v>0</v>
      </c>
      <c r="BL106" s="1170">
        <f>BL60-BL104-BL105</f>
        <v>0</v>
      </c>
      <c r="BM106" s="1170">
        <f>BK106+BL106</f>
        <v>0</v>
      </c>
      <c r="BN106" s="943">
        <f>BK106-BJ106</f>
        <v>0</v>
      </c>
      <c r="BO106" s="1170">
        <f>BO60-BO104-BO105</f>
        <v>0</v>
      </c>
      <c r="BP106" s="1170">
        <f>BP60-BP104-BP105</f>
        <v>0</v>
      </c>
      <c r="BQ106" s="1170">
        <f>BQ60-BQ104-BQ105</f>
        <v>-5671681</v>
      </c>
      <c r="BR106" s="1170">
        <f>BP106+BQ106</f>
        <v>-5671681</v>
      </c>
      <c r="BS106" s="943">
        <f>BP106-BO106</f>
        <v>0</v>
      </c>
      <c r="BT106" s="1170">
        <f>BT60-BT104-BT105</f>
        <v>-61641000</v>
      </c>
      <c r="BU106" s="1170">
        <f>BU60-BU104-BU105</f>
        <v>-61641000</v>
      </c>
      <c r="BV106" s="1170">
        <f>BV60-BV104-BV105</f>
        <v>0</v>
      </c>
      <c r="BW106" s="1170">
        <f>BU106+BV106</f>
        <v>-61641000</v>
      </c>
      <c r="BX106" s="943">
        <f>BU106-BT106</f>
        <v>0</v>
      </c>
      <c r="BY106" s="1170">
        <f>BY60-BY104-BY105</f>
        <v>0</v>
      </c>
      <c r="BZ106" s="1170">
        <f>BZ60-BZ104-BZ105</f>
        <v>0</v>
      </c>
      <c r="CA106" s="1170">
        <f>CA60-CA104-CA105</f>
        <v>0</v>
      </c>
      <c r="CB106" s="1171">
        <f>SUM(BZ106+CA106)</f>
        <v>0</v>
      </c>
      <c r="CC106" s="943">
        <f>BZ106-BY106</f>
        <v>0</v>
      </c>
      <c r="CD106" s="1170">
        <f>CD60-CD104-CD105</f>
        <v>0</v>
      </c>
      <c r="CE106" s="1170">
        <f>CE60-CE104-CE105</f>
        <v>0</v>
      </c>
      <c r="CF106" s="1170">
        <f>CF60-CF104-CF105</f>
        <v>0</v>
      </c>
      <c r="CG106" s="1171">
        <f>SUM(CE106+CF106)</f>
        <v>0</v>
      </c>
      <c r="CH106" s="943">
        <f>CE106-CD106</f>
        <v>0</v>
      </c>
      <c r="CI106" s="1170">
        <f>CI60-CI104-CI105</f>
        <v>0</v>
      </c>
      <c r="CJ106" s="1170">
        <f>CJ60-CJ104-CJ105</f>
        <v>0</v>
      </c>
      <c r="CK106" s="1170">
        <f>CK60-CK104-CK105</f>
        <v>0</v>
      </c>
      <c r="CL106" s="1171">
        <f>SUM(CJ106+CK106)</f>
        <v>0</v>
      </c>
      <c r="CM106" s="943">
        <f>CJ106-CI106</f>
        <v>0</v>
      </c>
      <c r="CN106" s="1170">
        <f>CN60-CN104-CN105</f>
        <v>0</v>
      </c>
      <c r="CO106" s="1170">
        <f>CO60-CO104-CO105</f>
        <v>0</v>
      </c>
      <c r="CP106" s="1170">
        <f>CP60-CP104-CP105</f>
        <v>0</v>
      </c>
      <c r="CQ106" s="1171">
        <f>SUM(CO106+CP106)</f>
        <v>0</v>
      </c>
      <c r="CR106" s="943">
        <f>CO106-CN106</f>
        <v>0</v>
      </c>
      <c r="CS106" s="1170">
        <f>CS60-CS104-CS105</f>
        <v>0</v>
      </c>
      <c r="CT106" s="1170">
        <f>CT60-CT104-CT105</f>
        <v>0</v>
      </c>
      <c r="CU106" s="1170">
        <f>CU60-CU104-CU105</f>
        <v>0</v>
      </c>
      <c r="CV106" s="1171">
        <f>SUM(CT106+CU106)</f>
        <v>0</v>
      </c>
      <c r="CW106" s="943">
        <f>CT106-CS106</f>
        <v>0</v>
      </c>
      <c r="CX106" s="943"/>
      <c r="CY106" s="943"/>
      <c r="CZ106" s="943"/>
      <c r="DA106" s="943"/>
      <c r="DB106" s="943"/>
      <c r="DC106" s="1160">
        <f>BJ106+BO106+BT106+BY106+CD106+CI106+CN106++CS106</f>
        <v>-61641000</v>
      </c>
      <c r="DD106" s="1160">
        <f>BK106+BP106+BU106+BX156+BZ106+CE106+CJ106+CO106+CT106</f>
        <v>-61641000</v>
      </c>
      <c r="DE106" s="1160">
        <f>BL106+BQ106+BV106+CA106+CF106+CK106+CP106+CU106</f>
        <v>-5671681</v>
      </c>
      <c r="DF106" s="1169">
        <f>SUM(DD106+DE106)</f>
        <v>-67312681</v>
      </c>
      <c r="DG106" s="1141">
        <f>DD106-DC106</f>
        <v>0</v>
      </c>
      <c r="DH106" s="1170">
        <f>DH60-DH104-DH105</f>
        <v>46868000</v>
      </c>
      <c r="DI106" s="1170">
        <f>DI60-DI104-DI105</f>
        <v>85517000</v>
      </c>
      <c r="DJ106" s="1170">
        <f>DJ60-DJ104-DJ105</f>
        <v>1125000</v>
      </c>
      <c r="DK106" s="1171">
        <f>SUM(DI106+DJ106)</f>
        <v>86642000</v>
      </c>
      <c r="DL106" s="943">
        <f>DI106-DH106</f>
        <v>38649000</v>
      </c>
      <c r="DM106" s="1141">
        <f t="shared" si="310"/>
        <v>1104619000</v>
      </c>
      <c r="DN106" s="1141">
        <f t="shared" si="310"/>
        <v>1186991138</v>
      </c>
      <c r="DO106" s="1141">
        <f t="shared" si="310"/>
        <v>-3129025</v>
      </c>
      <c r="DP106" s="1169">
        <f>SUM(DN106:DO106)</f>
        <v>1183862113</v>
      </c>
      <c r="DQ106" s="1150">
        <f>DN106-DM106</f>
        <v>82372138</v>
      </c>
      <c r="DS106" s="632">
        <f>DP60-DP104-DP105-DP106</f>
        <v>76055411</v>
      </c>
    </row>
    <row r="107" spans="1:126" ht="15" customHeight="1">
      <c r="CA107" s="632"/>
      <c r="CF107" s="632"/>
      <c r="CK107" s="632"/>
      <c r="CP107" s="632"/>
      <c r="CU107" s="632"/>
      <c r="DE107" s="1150"/>
    </row>
    <row r="108" spans="1:126" ht="15" customHeight="1"/>
    <row r="109" spans="1:126" ht="15" customHeight="1">
      <c r="CA109" s="632"/>
      <c r="CF109" s="632"/>
      <c r="CK109" s="632"/>
      <c r="CP109" s="632"/>
      <c r="CU109" s="632"/>
      <c r="DE109" s="1150"/>
    </row>
    <row r="110" spans="1:126" ht="15" customHeight="1"/>
    <row r="111" spans="1:126" ht="15" customHeight="1">
      <c r="BF111" s="1156"/>
      <c r="BG111" s="1156"/>
      <c r="BH111" s="1156"/>
      <c r="BI111" s="1156"/>
      <c r="BJ111" s="919"/>
    </row>
    <row r="112" spans="1:126" ht="15" customHeight="1">
      <c r="BF112" s="1156"/>
      <c r="BG112" s="1156"/>
      <c r="BH112" s="1156"/>
      <c r="BI112" s="1156"/>
      <c r="BJ112" s="919"/>
    </row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</sheetData>
  <sheetProtection selectLockedCells="1" selectUnlockedCells="1"/>
  <mergeCells count="70">
    <mergeCell ref="DD4:DF4"/>
    <mergeCell ref="DI4:DK4"/>
    <mergeCell ref="DN4:DP4"/>
    <mergeCell ref="BZ4:CB4"/>
    <mergeCell ref="CE4:CG4"/>
    <mergeCell ref="CJ4:CL4"/>
    <mergeCell ref="CO4:CQ4"/>
    <mergeCell ref="CT4:CV4"/>
    <mergeCell ref="DN3:DP3"/>
    <mergeCell ref="C4:E4"/>
    <mergeCell ref="H4:J4"/>
    <mergeCell ref="M4:O4"/>
    <mergeCell ref="R4:T4"/>
    <mergeCell ref="W4:Y4"/>
    <mergeCell ref="AB4:AD4"/>
    <mergeCell ref="AG4:AI4"/>
    <mergeCell ref="AL4:AN4"/>
    <mergeCell ref="AQ4:AS4"/>
    <mergeCell ref="AV4:AX4"/>
    <mergeCell ref="BA4:BC4"/>
    <mergeCell ref="BF4:BH4"/>
    <mergeCell ref="BK4:BM4"/>
    <mergeCell ref="BP4:BR4"/>
    <mergeCell ref="BU4:BW4"/>
    <mergeCell ref="CJ3:CL3"/>
    <mergeCell ref="CO3:CQ3"/>
    <mergeCell ref="CT3:CV3"/>
    <mergeCell ref="DD3:DF3"/>
    <mergeCell ref="DI3:DK3"/>
    <mergeCell ref="BK3:BM3"/>
    <mergeCell ref="BP3:BR3"/>
    <mergeCell ref="BU3:BW3"/>
    <mergeCell ref="BZ3:CB3"/>
    <mergeCell ref="CE3:CG3"/>
    <mergeCell ref="DC2:DG2"/>
    <mergeCell ref="DH2:DL2"/>
    <mergeCell ref="DM2:DQ2"/>
    <mergeCell ref="CX2:DB2"/>
    <mergeCell ref="C3:E3"/>
    <mergeCell ref="H3:J3"/>
    <mergeCell ref="M3:O3"/>
    <mergeCell ref="R3:T3"/>
    <mergeCell ref="W3:Y3"/>
    <mergeCell ref="AB3:AD3"/>
    <mergeCell ref="AG3:AI3"/>
    <mergeCell ref="AL3:AN3"/>
    <mergeCell ref="AQ3:AS3"/>
    <mergeCell ref="AV3:AX3"/>
    <mergeCell ref="BA3:BC3"/>
    <mergeCell ref="BF3:BH3"/>
    <mergeCell ref="BY2:CC2"/>
    <mergeCell ref="CE2:CG2"/>
    <mergeCell ref="CI2:CM2"/>
    <mergeCell ref="CO2:CQ2"/>
    <mergeCell ref="CT2:CV2"/>
    <mergeCell ref="BA2:BC2"/>
    <mergeCell ref="BE2:BI2"/>
    <mergeCell ref="BJ2:BN2"/>
    <mergeCell ref="BO2:BS2"/>
    <mergeCell ref="BT2:BX2"/>
    <mergeCell ref="AB2:AD2"/>
    <mergeCell ref="AG2:AI2"/>
    <mergeCell ref="AL2:AN2"/>
    <mergeCell ref="AQ2:AS2"/>
    <mergeCell ref="AU2:AY2"/>
    <mergeCell ref="B2:F2"/>
    <mergeCell ref="G2:K2"/>
    <mergeCell ref="L2:P2"/>
    <mergeCell ref="Q2:U2"/>
    <mergeCell ref="V2:Z2"/>
  </mergeCells>
  <printOptions horizontalCentered="1"/>
  <pageMargins left="0.23622047244094491" right="0.19685039370078741" top="0.86614173228346458" bottom="0.59055118110236227" header="0.31496062992125984" footer="0.31496062992125984"/>
  <pageSetup paperSize="9" scale="69" firstPageNumber="0" orientation="portrait" horizontalDpi="300" verticalDpi="300" r:id="rId1"/>
  <headerFooter alignWithMargins="0">
    <oddHeader>&amp;C&amp;"Arial CE,Félkövér"
Budapest Főváros XV. ker. Önkormányzata 2016.évi  előirányzatainak teljesítése (Ft)&amp;R&amp;8 4.3. m. a 2016. évi költségvetésről szóló 5/2016. (II.29.) ök.rendelet végrehajtásáról szóló 11/2017. (V.3.) ök. rendelethez</oddHeader>
    <oddFooter>&amp;C&amp;8                &amp;P. oldal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BT167"/>
  <sheetViews>
    <sheetView view="pageBreakPreview" zoomScaleNormal="100" zoomScaleSheetLayoutView="100" workbookViewId="0">
      <pane xSplit="1" topLeftCell="AE1" activePane="topRight" state="frozen"/>
      <selection activeCell="A46" sqref="A46"/>
      <selection pane="topRight" activeCell="BM32" sqref="BM32"/>
    </sheetView>
  </sheetViews>
  <sheetFormatPr defaultRowHeight="15"/>
  <cols>
    <col min="1" max="1" width="49.42578125" style="630" customWidth="1"/>
    <col min="2" max="2" width="14.140625" style="633" customWidth="1"/>
    <col min="3" max="4" width="0" style="630" hidden="1" customWidth="1"/>
    <col min="5" max="7" width="14.28515625" style="630" customWidth="1"/>
    <col min="8" max="9" width="0" style="630" hidden="1" customWidth="1"/>
    <col min="10" max="12" width="14.28515625" style="630" customWidth="1"/>
    <col min="13" max="14" width="0" style="630" hidden="1" customWidth="1"/>
    <col min="15" max="17" width="14.28515625" style="630" customWidth="1"/>
    <col min="18" max="19" width="0" style="630" hidden="1" customWidth="1"/>
    <col min="20" max="22" width="14.28515625" style="630" customWidth="1"/>
    <col min="23" max="24" width="0" style="630" hidden="1" customWidth="1"/>
    <col min="25" max="27" width="14.28515625" style="630" customWidth="1"/>
    <col min="28" max="29" width="0" style="630" hidden="1" customWidth="1"/>
    <col min="30" max="31" width="14.28515625" style="630" customWidth="1"/>
    <col min="32" max="32" width="15.5703125" style="630" customWidth="1"/>
    <col min="33" max="34" width="0" style="630" hidden="1" customWidth="1"/>
    <col min="35" max="35" width="15.5703125" style="630" customWidth="1"/>
    <col min="36" max="36" width="15.42578125" style="630" customWidth="1"/>
    <col min="37" max="37" width="14.28515625" style="630" customWidth="1"/>
    <col min="38" max="39" width="0" style="630" hidden="1" customWidth="1"/>
    <col min="40" max="41" width="14.28515625" style="630" customWidth="1"/>
    <col min="42" max="61" width="0" style="630" hidden="1" customWidth="1"/>
    <col min="62" max="62" width="15.42578125" style="961" customWidth="1"/>
    <col min="63" max="64" width="0" style="961" hidden="1" customWidth="1"/>
    <col min="65" max="65" width="15.5703125" style="961" customWidth="1"/>
    <col min="66" max="66" width="15.7109375" style="961" customWidth="1"/>
    <col min="67" max="67" width="15.42578125" style="961" customWidth="1"/>
    <col min="68" max="69" width="0" style="961" hidden="1" customWidth="1"/>
    <col min="70" max="70" width="17" style="961" customWidth="1"/>
    <col min="71" max="71" width="16.5703125" style="961" customWidth="1"/>
    <col min="72" max="72" width="17.42578125" style="630" customWidth="1"/>
    <col min="73" max="16384" width="9.140625" style="630"/>
  </cols>
  <sheetData>
    <row r="1" spans="1:71" ht="17.25" hidden="1" customHeight="1">
      <c r="A1" s="957" t="s">
        <v>653</v>
      </c>
      <c r="B1" s="1172"/>
      <c r="C1" s="1173"/>
      <c r="D1" s="1174">
        <v>1</v>
      </c>
      <c r="E1" s="1173"/>
      <c r="F1" s="1173"/>
      <c r="G1" s="1173"/>
      <c r="H1" s="1173"/>
      <c r="I1" s="1174">
        <v>2</v>
      </c>
      <c r="J1" s="1173"/>
      <c r="K1" s="1173"/>
      <c r="L1" s="1173"/>
      <c r="M1" s="1173"/>
      <c r="N1" s="1174">
        <v>3</v>
      </c>
      <c r="O1" s="1173"/>
      <c r="P1" s="1173"/>
      <c r="Q1" s="1173"/>
      <c r="R1" s="1173"/>
      <c r="S1" s="1174">
        <v>4</v>
      </c>
      <c r="T1" s="1173"/>
      <c r="U1" s="1173"/>
      <c r="V1" s="1173"/>
      <c r="W1" s="1173"/>
      <c r="X1" s="1174">
        <v>5</v>
      </c>
      <c r="Y1" s="1173"/>
      <c r="Z1" s="1173"/>
      <c r="AA1" s="1173"/>
      <c r="AB1" s="1173"/>
      <c r="AC1" s="1174">
        <v>6</v>
      </c>
      <c r="AD1" s="1173"/>
      <c r="AE1" s="1173"/>
      <c r="AF1" s="1173"/>
      <c r="AG1" s="1173"/>
      <c r="AH1" s="1174">
        <v>7</v>
      </c>
      <c r="AI1" s="1173"/>
      <c r="AJ1" s="1173"/>
      <c r="AK1" s="1173"/>
      <c r="AL1" s="1173"/>
      <c r="AM1" s="1174">
        <v>8</v>
      </c>
      <c r="AN1" s="1173"/>
      <c r="AO1" s="1173"/>
      <c r="AP1" s="1173"/>
      <c r="AQ1" s="1173"/>
      <c r="AR1" s="1174">
        <v>9</v>
      </c>
      <c r="AS1" s="1173"/>
      <c r="AT1" s="1173"/>
      <c r="AU1" s="1173"/>
      <c r="AV1" s="1173"/>
      <c r="AW1" s="1174">
        <v>10</v>
      </c>
      <c r="AX1" s="1173"/>
      <c r="AY1" s="1173"/>
      <c r="AZ1" s="1173"/>
      <c r="BA1" s="1175"/>
      <c r="BB1" s="1174">
        <v>11</v>
      </c>
      <c r="BC1" s="1176"/>
      <c r="BD1" s="1173"/>
      <c r="BE1" s="1173"/>
      <c r="BF1" s="1175"/>
      <c r="BG1" s="1174">
        <v>12</v>
      </c>
      <c r="BH1" s="1176"/>
      <c r="BI1" s="1173"/>
      <c r="BJ1" s="1177"/>
      <c r="BK1" s="1178"/>
      <c r="BL1" s="1179">
        <v>13</v>
      </c>
      <c r="BM1" s="1644"/>
      <c r="BN1" s="1054"/>
      <c r="BO1" s="1180"/>
      <c r="BP1" s="1180"/>
      <c r="BQ1" s="1181">
        <v>14</v>
      </c>
      <c r="BR1" s="1180"/>
    </row>
    <row r="2" spans="1:71" ht="30" customHeight="1">
      <c r="A2" s="957" t="s">
        <v>654</v>
      </c>
      <c r="B2" s="1734" t="s">
        <v>801</v>
      </c>
      <c r="C2" s="1734"/>
      <c r="D2" s="1734"/>
      <c r="E2" s="1734"/>
      <c r="F2" s="1734"/>
      <c r="G2" s="1734" t="s">
        <v>802</v>
      </c>
      <c r="H2" s="1734"/>
      <c r="I2" s="1734"/>
      <c r="J2" s="1734"/>
      <c r="K2" s="1734"/>
      <c r="L2" s="1734" t="s">
        <v>804</v>
      </c>
      <c r="M2" s="1734"/>
      <c r="N2" s="1734"/>
      <c r="O2" s="1734"/>
      <c r="P2" s="1734"/>
      <c r="Q2" s="1734" t="s">
        <v>805</v>
      </c>
      <c r="R2" s="1734"/>
      <c r="S2" s="1734"/>
      <c r="T2" s="1734"/>
      <c r="U2" s="1734"/>
      <c r="V2" s="1734" t="s">
        <v>806</v>
      </c>
      <c r="W2" s="1734"/>
      <c r="X2" s="1734"/>
      <c r="Y2" s="1734"/>
      <c r="Z2" s="1734"/>
      <c r="AA2" s="1734" t="s">
        <v>807</v>
      </c>
      <c r="AB2" s="1734"/>
      <c r="AC2" s="1734"/>
      <c r="AD2" s="1734"/>
      <c r="AE2" s="1734"/>
      <c r="AF2" s="1724" t="s">
        <v>808</v>
      </c>
      <c r="AG2" s="1724"/>
      <c r="AH2" s="1724"/>
      <c r="AI2" s="1724"/>
      <c r="AJ2" s="1724"/>
      <c r="AK2" s="1754" t="s">
        <v>896</v>
      </c>
      <c r="AL2" s="1755"/>
      <c r="AM2" s="1755"/>
      <c r="AN2" s="1755"/>
      <c r="AO2" s="1756"/>
      <c r="AP2" s="1743"/>
      <c r="AQ2" s="1743"/>
      <c r="AR2" s="1743"/>
      <c r="AS2" s="1743"/>
      <c r="AT2" s="1743"/>
      <c r="AU2" s="1743"/>
      <c r="AV2" s="1743"/>
      <c r="AW2" s="1743"/>
      <c r="AX2" s="1743"/>
      <c r="AY2" s="1743"/>
      <c r="AZ2" s="1743"/>
      <c r="BA2" s="1743"/>
      <c r="BB2" s="1743"/>
      <c r="BC2" s="1743"/>
      <c r="BD2" s="1743"/>
      <c r="BE2" s="1757"/>
      <c r="BF2" s="1757"/>
      <c r="BG2" s="1757"/>
      <c r="BH2" s="1757"/>
      <c r="BI2" s="1757"/>
      <c r="BJ2" s="1725" t="s">
        <v>897</v>
      </c>
      <c r="BK2" s="1725"/>
      <c r="BL2" s="1725"/>
      <c r="BM2" s="1725"/>
      <c r="BN2" s="1725"/>
      <c r="BO2" s="1725" t="s">
        <v>898</v>
      </c>
      <c r="BP2" s="1725"/>
      <c r="BQ2" s="1725"/>
      <c r="BR2" s="1725"/>
      <c r="BS2" s="1725"/>
    </row>
    <row r="3" spans="1:71" s="405" customFormat="1" ht="15" customHeight="1">
      <c r="A3" s="957" t="s">
        <v>811</v>
      </c>
      <c r="B3" s="1645"/>
      <c r="C3" s="1742" t="s">
        <v>812</v>
      </c>
      <c r="D3" s="1742"/>
      <c r="E3" s="1742"/>
      <c r="F3" s="957"/>
      <c r="G3" s="957"/>
      <c r="H3" s="1742" t="s">
        <v>813</v>
      </c>
      <c r="I3" s="1742"/>
      <c r="J3" s="1742"/>
      <c r="K3" s="957"/>
      <c r="L3" s="957"/>
      <c r="M3" s="1742" t="s">
        <v>815</v>
      </c>
      <c r="N3" s="1742"/>
      <c r="O3" s="1742"/>
      <c r="P3" s="957"/>
      <c r="Q3" s="957"/>
      <c r="R3" s="1742" t="s">
        <v>816</v>
      </c>
      <c r="S3" s="1742"/>
      <c r="T3" s="1742"/>
      <c r="U3" s="957"/>
      <c r="V3" s="957"/>
      <c r="W3" s="1742" t="s">
        <v>817</v>
      </c>
      <c r="X3" s="1742"/>
      <c r="Y3" s="1742"/>
      <c r="Z3" s="957"/>
      <c r="AA3" s="957"/>
      <c r="AB3" s="1742" t="s">
        <v>818</v>
      </c>
      <c r="AC3" s="1742"/>
      <c r="AD3" s="1742"/>
      <c r="AE3" s="957"/>
      <c r="AF3" s="957"/>
      <c r="AG3" s="1742" t="s">
        <v>819</v>
      </c>
      <c r="AH3" s="1742"/>
      <c r="AI3" s="1742"/>
      <c r="AJ3" s="957"/>
      <c r="AK3" s="957"/>
      <c r="AL3" s="1742" t="s">
        <v>1339</v>
      </c>
      <c r="AM3" s="1742"/>
      <c r="AN3" s="1742"/>
      <c r="AO3" s="957"/>
      <c r="AP3" s="957"/>
      <c r="AQ3" s="1742"/>
      <c r="AR3" s="1742"/>
      <c r="AS3" s="1742"/>
      <c r="AT3" s="957"/>
      <c r="AU3" s="957"/>
      <c r="AV3" s="1742"/>
      <c r="AW3" s="1742"/>
      <c r="AX3" s="1742"/>
      <c r="AY3" s="957"/>
      <c r="AZ3" s="957"/>
      <c r="BA3" s="1758"/>
      <c r="BB3" s="1758"/>
      <c r="BC3" s="1758"/>
      <c r="BD3" s="1182"/>
      <c r="BE3" s="1182"/>
      <c r="BF3" s="1758"/>
      <c r="BG3" s="1758"/>
      <c r="BH3" s="1758"/>
      <c r="BI3" s="1182"/>
      <c r="BJ3" s="1183"/>
      <c r="BK3" s="1759" t="s">
        <v>899</v>
      </c>
      <c r="BL3" s="1759"/>
      <c r="BM3" s="1759"/>
      <c r="BN3" s="1055"/>
      <c r="BO3" s="1184"/>
      <c r="BP3" s="1759" t="s">
        <v>661</v>
      </c>
      <c r="BQ3" s="1759"/>
      <c r="BR3" s="1759"/>
      <c r="BS3" s="1055"/>
    </row>
    <row r="4" spans="1:71" ht="16.5" hidden="1" customHeight="1">
      <c r="A4" s="1185" t="s">
        <v>662</v>
      </c>
      <c r="B4" s="1186"/>
      <c r="C4" s="1744"/>
      <c r="D4" s="1744"/>
      <c r="E4" s="1744"/>
      <c r="F4" s="1187"/>
      <c r="G4" s="1187"/>
      <c r="H4" s="1744"/>
      <c r="I4" s="1744"/>
      <c r="J4" s="1744"/>
      <c r="K4" s="1187"/>
      <c r="L4" s="1187"/>
      <c r="M4" s="1744"/>
      <c r="N4" s="1744"/>
      <c r="O4" s="1744"/>
      <c r="P4" s="1187"/>
      <c r="Q4" s="1187"/>
      <c r="R4" s="1744"/>
      <c r="S4" s="1744"/>
      <c r="T4" s="1744"/>
      <c r="U4" s="1187"/>
      <c r="V4" s="1187"/>
      <c r="W4" s="1744"/>
      <c r="X4" s="1744"/>
      <c r="Y4" s="1744"/>
      <c r="Z4" s="1187"/>
      <c r="AA4" s="1187"/>
      <c r="AB4" s="1187"/>
      <c r="AC4" s="1187"/>
      <c r="AD4" s="1187"/>
      <c r="AE4" s="1187"/>
      <c r="AF4" s="1187"/>
      <c r="AG4" s="1188"/>
      <c r="AH4" s="1188"/>
      <c r="AI4" s="1188"/>
      <c r="AJ4" s="1188"/>
      <c r="AK4" s="1188"/>
      <c r="AL4" s="1743"/>
      <c r="AM4" s="1743"/>
      <c r="AN4" s="1743"/>
      <c r="AO4" s="1188"/>
      <c r="AP4" s="1188"/>
      <c r="AQ4" s="1743"/>
      <c r="AR4" s="1743"/>
      <c r="AS4" s="1743"/>
      <c r="AT4" s="1188"/>
      <c r="AU4" s="1188"/>
      <c r="AV4" s="1743"/>
      <c r="AW4" s="1743"/>
      <c r="AX4" s="1743"/>
      <c r="AY4" s="1188"/>
      <c r="AZ4" s="1188"/>
      <c r="BA4" s="1743"/>
      <c r="BB4" s="1743"/>
      <c r="BC4" s="1743"/>
      <c r="BD4" s="1188"/>
      <c r="BE4" s="1188"/>
      <c r="BF4" s="1743"/>
      <c r="BG4" s="1743"/>
      <c r="BH4" s="1743"/>
      <c r="BI4" s="1188"/>
      <c r="BJ4" s="1189"/>
      <c r="BK4" s="1760" t="s">
        <v>900</v>
      </c>
      <c r="BL4" s="1760"/>
      <c r="BM4" s="1760"/>
      <c r="BO4" s="1189"/>
      <c r="BP4" s="1745"/>
      <c r="BQ4" s="1745"/>
      <c r="BR4" s="1745"/>
    </row>
    <row r="5" spans="1:71" ht="31.5" customHeight="1">
      <c r="A5" s="957" t="s">
        <v>665</v>
      </c>
      <c r="B5" s="853" t="s">
        <v>2</v>
      </c>
      <c r="C5" s="853" t="s">
        <v>139</v>
      </c>
      <c r="D5" s="833" t="s">
        <v>4</v>
      </c>
      <c r="E5" s="853" t="s">
        <v>5</v>
      </c>
      <c r="F5" s="833" t="s">
        <v>140</v>
      </c>
      <c r="G5" s="853" t="s">
        <v>2</v>
      </c>
      <c r="H5" s="853" t="s">
        <v>139</v>
      </c>
      <c r="I5" s="833" t="s">
        <v>4</v>
      </c>
      <c r="J5" s="853" t="s">
        <v>5</v>
      </c>
      <c r="K5" s="833" t="s">
        <v>140</v>
      </c>
      <c r="L5" s="853" t="s">
        <v>2</v>
      </c>
      <c r="M5" s="853" t="s">
        <v>139</v>
      </c>
      <c r="N5" s="833" t="s">
        <v>4</v>
      </c>
      <c r="O5" s="853" t="s">
        <v>5</v>
      </c>
      <c r="P5" s="833" t="s">
        <v>140</v>
      </c>
      <c r="Q5" s="853" t="s">
        <v>2</v>
      </c>
      <c r="R5" s="853" t="s">
        <v>139</v>
      </c>
      <c r="S5" s="833" t="s">
        <v>4</v>
      </c>
      <c r="T5" s="853" t="s">
        <v>5</v>
      </c>
      <c r="U5" s="833" t="s">
        <v>140</v>
      </c>
      <c r="V5" s="853" t="s">
        <v>2</v>
      </c>
      <c r="W5" s="853" t="s">
        <v>139</v>
      </c>
      <c r="X5" s="833" t="s">
        <v>4</v>
      </c>
      <c r="Y5" s="853" t="s">
        <v>5</v>
      </c>
      <c r="Z5" s="833" t="s">
        <v>140</v>
      </c>
      <c r="AA5" s="853" t="s">
        <v>2</v>
      </c>
      <c r="AB5" s="853" t="s">
        <v>139</v>
      </c>
      <c r="AC5" s="833" t="s">
        <v>4</v>
      </c>
      <c r="AD5" s="853" t="s">
        <v>5</v>
      </c>
      <c r="AE5" s="833" t="s">
        <v>140</v>
      </c>
      <c r="AF5" s="853" t="s">
        <v>2</v>
      </c>
      <c r="AG5" s="853" t="s">
        <v>139</v>
      </c>
      <c r="AH5" s="833" t="s">
        <v>4</v>
      </c>
      <c r="AI5" s="853" t="s">
        <v>5</v>
      </c>
      <c r="AJ5" s="833" t="s">
        <v>140</v>
      </c>
      <c r="AK5" s="853" t="s">
        <v>2</v>
      </c>
      <c r="AL5" s="853" t="s">
        <v>139</v>
      </c>
      <c r="AM5" s="833" t="s">
        <v>4</v>
      </c>
      <c r="AN5" s="853" t="s">
        <v>5</v>
      </c>
      <c r="AO5" s="833" t="s">
        <v>140</v>
      </c>
      <c r="AP5" s="853" t="s">
        <v>2</v>
      </c>
      <c r="AQ5" s="853" t="s">
        <v>139</v>
      </c>
      <c r="AR5" s="833" t="s">
        <v>4</v>
      </c>
      <c r="AS5" s="853" t="s">
        <v>5</v>
      </c>
      <c r="AT5" s="833" t="s">
        <v>140</v>
      </c>
      <c r="AU5" s="853" t="s">
        <v>2</v>
      </c>
      <c r="AV5" s="853" t="s">
        <v>139</v>
      </c>
      <c r="AW5" s="833" t="s">
        <v>4</v>
      </c>
      <c r="AX5" s="853" t="s">
        <v>5</v>
      </c>
      <c r="AY5" s="833" t="s">
        <v>140</v>
      </c>
      <c r="AZ5" s="853" t="s">
        <v>2</v>
      </c>
      <c r="BA5" s="853" t="s">
        <v>139</v>
      </c>
      <c r="BB5" s="833" t="s">
        <v>4</v>
      </c>
      <c r="BC5" s="853" t="s">
        <v>5</v>
      </c>
      <c r="BD5" s="833" t="s">
        <v>140</v>
      </c>
      <c r="BE5" s="853" t="s">
        <v>2</v>
      </c>
      <c r="BF5" s="853" t="s">
        <v>139</v>
      </c>
      <c r="BG5" s="833" t="s">
        <v>4</v>
      </c>
      <c r="BH5" s="853" t="s">
        <v>5</v>
      </c>
      <c r="BI5" s="833" t="s">
        <v>140</v>
      </c>
      <c r="BJ5" s="853" t="s">
        <v>2</v>
      </c>
      <c r="BK5" s="853" t="s">
        <v>139</v>
      </c>
      <c r="BL5" s="833" t="s">
        <v>4</v>
      </c>
      <c r="BM5" s="853" t="s">
        <v>5</v>
      </c>
      <c r="BN5" s="833" t="s">
        <v>140</v>
      </c>
      <c r="BO5" s="853" t="s">
        <v>2</v>
      </c>
      <c r="BP5" s="853" t="s">
        <v>139</v>
      </c>
      <c r="BQ5" s="833" t="s">
        <v>4</v>
      </c>
      <c r="BR5" s="853" t="s">
        <v>5</v>
      </c>
      <c r="BS5" s="833" t="s">
        <v>140</v>
      </c>
    </row>
    <row r="6" spans="1:71" s="405" customFormat="1" ht="11.25" customHeight="1">
      <c r="A6" s="1191"/>
      <c r="B6" s="1646" t="s">
        <v>74</v>
      </c>
      <c r="C6" s="1191" t="s">
        <v>75</v>
      </c>
      <c r="D6" s="1191" t="s">
        <v>76</v>
      </c>
      <c r="E6" s="1191">
        <v>2</v>
      </c>
      <c r="F6" s="1191">
        <v>3</v>
      </c>
      <c r="G6" s="1191">
        <v>4</v>
      </c>
      <c r="H6" s="1191" t="s">
        <v>77</v>
      </c>
      <c r="I6" s="1191" t="s">
        <v>78</v>
      </c>
      <c r="J6" s="1191">
        <v>5</v>
      </c>
      <c r="K6" s="1191">
        <v>6</v>
      </c>
      <c r="L6" s="1191">
        <v>7</v>
      </c>
      <c r="M6" s="1191" t="s">
        <v>79</v>
      </c>
      <c r="N6" s="1191" t="s">
        <v>80</v>
      </c>
      <c r="O6" s="1191">
        <v>8</v>
      </c>
      <c r="P6" s="1191">
        <v>9</v>
      </c>
      <c r="Q6" s="1191">
        <v>10</v>
      </c>
      <c r="R6" s="1191" t="s">
        <v>794</v>
      </c>
      <c r="S6" s="1191" t="s">
        <v>795</v>
      </c>
      <c r="T6" s="1191">
        <v>11</v>
      </c>
      <c r="U6" s="1191">
        <v>12</v>
      </c>
      <c r="V6" s="1191">
        <v>13</v>
      </c>
      <c r="W6" s="1191" t="s">
        <v>666</v>
      </c>
      <c r="X6" s="1191" t="s">
        <v>667</v>
      </c>
      <c r="Y6" s="1191">
        <v>14</v>
      </c>
      <c r="Z6" s="1191">
        <v>15</v>
      </c>
      <c r="AA6" s="1191">
        <v>16</v>
      </c>
      <c r="AB6" s="1191" t="s">
        <v>668</v>
      </c>
      <c r="AC6" s="1191" t="s">
        <v>669</v>
      </c>
      <c r="AD6" s="1191">
        <v>17</v>
      </c>
      <c r="AE6" s="1191">
        <v>18</v>
      </c>
      <c r="AF6" s="1191">
        <v>19</v>
      </c>
      <c r="AG6" s="1191" t="s">
        <v>670</v>
      </c>
      <c r="AH6" s="1191" t="s">
        <v>671</v>
      </c>
      <c r="AI6" s="1191">
        <v>20</v>
      </c>
      <c r="AJ6" s="1191">
        <v>21</v>
      </c>
      <c r="AK6" s="1191">
        <v>22</v>
      </c>
      <c r="AL6" s="1191" t="s">
        <v>672</v>
      </c>
      <c r="AM6" s="1191" t="s">
        <v>673</v>
      </c>
      <c r="AN6" s="1191">
        <v>23</v>
      </c>
      <c r="AO6" s="1191">
        <v>24</v>
      </c>
      <c r="AP6" s="1191" t="s">
        <v>822</v>
      </c>
      <c r="AQ6" s="1191" t="s">
        <v>674</v>
      </c>
      <c r="AR6" s="1191" t="s">
        <v>675</v>
      </c>
      <c r="AS6" s="1191" t="s">
        <v>823</v>
      </c>
      <c r="AT6" s="1191" t="s">
        <v>824</v>
      </c>
      <c r="AU6" s="1191" t="s">
        <v>825</v>
      </c>
      <c r="AV6" s="1191" t="s">
        <v>676</v>
      </c>
      <c r="AW6" s="1191" t="s">
        <v>677</v>
      </c>
      <c r="AX6" s="1191" t="s">
        <v>826</v>
      </c>
      <c r="AY6" s="1191" t="s">
        <v>827</v>
      </c>
      <c r="AZ6" s="1191" t="s">
        <v>883</v>
      </c>
      <c r="BA6" s="1191" t="s">
        <v>678</v>
      </c>
      <c r="BB6" s="1191" t="s">
        <v>679</v>
      </c>
      <c r="BC6" s="1191" t="s">
        <v>884</v>
      </c>
      <c r="BD6" s="1191" t="s">
        <v>885</v>
      </c>
      <c r="BE6" s="1191" t="s">
        <v>901</v>
      </c>
      <c r="BF6" s="1191" t="s">
        <v>680</v>
      </c>
      <c r="BG6" s="1191" t="s">
        <v>681</v>
      </c>
      <c r="BH6" s="1191" t="s">
        <v>902</v>
      </c>
      <c r="BI6" s="1191" t="s">
        <v>903</v>
      </c>
      <c r="BJ6" s="1192">
        <v>25</v>
      </c>
      <c r="BK6" s="1192" t="s">
        <v>682</v>
      </c>
      <c r="BL6" s="1192" t="s">
        <v>683</v>
      </c>
      <c r="BM6" s="1192">
        <v>26</v>
      </c>
      <c r="BN6" s="1192">
        <v>27</v>
      </c>
      <c r="BO6" s="1192">
        <v>28</v>
      </c>
      <c r="BP6" s="1192" t="s">
        <v>684</v>
      </c>
      <c r="BQ6" s="1192" t="s">
        <v>685</v>
      </c>
      <c r="BR6" s="1192">
        <v>29</v>
      </c>
      <c r="BS6" s="1192">
        <v>30</v>
      </c>
    </row>
    <row r="7" spans="1:71" s="986" customFormat="1" ht="15" hidden="1" customHeight="1">
      <c r="A7" s="980"/>
      <c r="B7" s="1193"/>
      <c r="BA7" s="1066"/>
      <c r="BB7" s="1066"/>
      <c r="BF7" s="1066"/>
      <c r="BG7" s="1066"/>
      <c r="BJ7" s="985"/>
      <c r="BK7" s="1194"/>
      <c r="BL7" s="1194"/>
      <c r="BM7" s="1194"/>
      <c r="BN7" s="985"/>
      <c r="BO7" s="985"/>
      <c r="BP7" s="1090"/>
      <c r="BQ7" s="1090"/>
      <c r="BR7" s="985"/>
      <c r="BS7" s="985"/>
    </row>
    <row r="8" spans="1:71" s="986" customFormat="1" ht="15" customHeight="1">
      <c r="A8" s="980" t="s">
        <v>796</v>
      </c>
      <c r="B8" s="1193"/>
      <c r="E8" s="866">
        <v>3</v>
      </c>
      <c r="F8" s="986">
        <f>C8-B8</f>
        <v>0</v>
      </c>
      <c r="J8" s="986">
        <f>SUM(H8+I8)</f>
        <v>0</v>
      </c>
      <c r="K8" s="986">
        <f>H8-G8</f>
        <v>0</v>
      </c>
      <c r="L8" s="986">
        <v>4</v>
      </c>
      <c r="M8" s="986">
        <v>4</v>
      </c>
      <c r="O8" s="986">
        <f>SUM(M8+N8)</f>
        <v>4</v>
      </c>
      <c r="P8" s="986">
        <v>4</v>
      </c>
      <c r="T8" s="986">
        <f>SUM(R8+S8)</f>
        <v>0</v>
      </c>
      <c r="U8" s="986">
        <f>R8-Q8</f>
        <v>0</v>
      </c>
      <c r="Y8" s="986">
        <f>SUM(W8+X8)</f>
        <v>0</v>
      </c>
      <c r="Z8" s="986">
        <f>W8-V8</f>
        <v>0</v>
      </c>
      <c r="AD8" s="986">
        <f>SUM(AB8+AC8)</f>
        <v>0</v>
      </c>
      <c r="AE8" s="986">
        <f>AB8-AA8</f>
        <v>0</v>
      </c>
      <c r="AI8" s="986">
        <f>SUM(AG8+AH8)</f>
        <v>0</v>
      </c>
      <c r="AJ8" s="986">
        <f>AG8-AF8</f>
        <v>0</v>
      </c>
      <c r="AN8" s="986">
        <f>SUM(AL8+AM8)</f>
        <v>0</v>
      </c>
      <c r="AO8" s="986">
        <f>AL8-AK8</f>
        <v>0</v>
      </c>
      <c r="AS8" s="986">
        <f>SUM(AQ8+AR8)</f>
        <v>0</v>
      </c>
      <c r="AT8" s="986">
        <f>AQ8-AP8</f>
        <v>0</v>
      </c>
      <c r="AX8" s="986">
        <f>SUM(AV8+AW8)</f>
        <v>0</v>
      </c>
      <c r="AY8" s="986">
        <f>AV8-AU8</f>
        <v>0</v>
      </c>
      <c r="BA8" s="1066"/>
      <c r="BC8" s="986">
        <f>SUM(BA8+BB8)</f>
        <v>0</v>
      </c>
      <c r="BD8" s="986">
        <f>BA8-AZ8</f>
        <v>0</v>
      </c>
      <c r="BF8" s="1066"/>
      <c r="BH8" s="986">
        <f>SUM(BF8+BG8)</f>
        <v>0</v>
      </c>
      <c r="BI8" s="986">
        <f>BF8-BE8</f>
        <v>0</v>
      </c>
      <c r="BJ8" s="1194">
        <f t="shared" ref="BJ8:BL9" si="0">SUM(B8+G8+L8+Q8+V8+AA8+AF8+AK8+AP8+AU8+AZ8+BE8)</f>
        <v>4</v>
      </c>
      <c r="BK8" s="1194">
        <f t="shared" si="0"/>
        <v>4</v>
      </c>
      <c r="BL8" s="1194">
        <f t="shared" si="0"/>
        <v>0</v>
      </c>
      <c r="BM8" s="1194">
        <f>SUM(BK8+BL8)</f>
        <v>4</v>
      </c>
      <c r="BN8" s="1194">
        <f>SUM(BL8+BM8)</f>
        <v>4</v>
      </c>
      <c r="BO8" s="1195">
        <f>BJ8+'4 bba Önkorm '!DM8</f>
        <v>4</v>
      </c>
      <c r="BP8" s="1195">
        <f>BK8+'4 bba Önkorm '!DN8</f>
        <v>4</v>
      </c>
      <c r="BQ8" s="1195">
        <f>BL8+'4 bba Önkorm '!DO8</f>
        <v>0</v>
      </c>
      <c r="BR8" s="1196">
        <f>BM8+'4 bba Önkorm '!DP8</f>
        <v>4</v>
      </c>
      <c r="BS8" s="1196">
        <f>BN8+'4 bba Önkorm '!DQ8</f>
        <v>4</v>
      </c>
    </row>
    <row r="9" spans="1:71" s="986" customFormat="1">
      <c r="A9" s="980" t="s">
        <v>828</v>
      </c>
      <c r="B9" s="1193"/>
      <c r="E9" s="986">
        <f>SUM(C9+D9)</f>
        <v>0</v>
      </c>
      <c r="F9" s="986">
        <f>C9-B9</f>
        <v>0</v>
      </c>
      <c r="J9" s="986">
        <f>SUM(H9+I9)</f>
        <v>0</v>
      </c>
      <c r="K9" s="986">
        <f>H9-G9</f>
        <v>0</v>
      </c>
      <c r="L9" s="986">
        <v>4</v>
      </c>
      <c r="M9" s="986">
        <v>4</v>
      </c>
      <c r="O9" s="986">
        <f>SUM(M9+N9)</f>
        <v>4</v>
      </c>
      <c r="P9" s="986">
        <v>4</v>
      </c>
      <c r="T9" s="986">
        <f>SUM(R9+S9)</f>
        <v>0</v>
      </c>
      <c r="U9" s="986">
        <f>R9-Q9</f>
        <v>0</v>
      </c>
      <c r="Y9" s="986">
        <f>SUM(W9+X9)</f>
        <v>0</v>
      </c>
      <c r="Z9" s="986">
        <f>W9-V9</f>
        <v>0</v>
      </c>
      <c r="AD9" s="986">
        <f>SUM(AB9+AC9)</f>
        <v>0</v>
      </c>
      <c r="AE9" s="986">
        <f>AB9-AA9</f>
        <v>0</v>
      </c>
      <c r="AI9" s="986">
        <f>SUM(AG9+AH9)</f>
        <v>0</v>
      </c>
      <c r="AJ9" s="986">
        <f>AG9-AF9</f>
        <v>0</v>
      </c>
      <c r="AN9" s="986">
        <f>SUM(AL9+AM9)</f>
        <v>0</v>
      </c>
      <c r="AO9" s="986">
        <f>AL9-AK9</f>
        <v>0</v>
      </c>
      <c r="AS9" s="986">
        <f>SUM(AQ9+AR9)</f>
        <v>0</v>
      </c>
      <c r="AT9" s="986">
        <f>AQ9-AP9</f>
        <v>0</v>
      </c>
      <c r="AY9" s="986">
        <f>AV9-AU9</f>
        <v>0</v>
      </c>
      <c r="BA9" s="1066"/>
      <c r="BD9" s="986">
        <f>BA9-AZ9</f>
        <v>0</v>
      </c>
      <c r="BF9" s="1066"/>
      <c r="BH9" s="986">
        <f>SUM(BF9+BG9)</f>
        <v>0</v>
      </c>
      <c r="BI9" s="986">
        <f>BF9-BE9</f>
        <v>0</v>
      </c>
      <c r="BJ9" s="1194">
        <f t="shared" si="0"/>
        <v>4</v>
      </c>
      <c r="BK9" s="1194">
        <f t="shared" si="0"/>
        <v>4</v>
      </c>
      <c r="BL9" s="1194">
        <f t="shared" si="0"/>
        <v>0</v>
      </c>
      <c r="BM9" s="1194">
        <f>SUM(BK9+BL9)</f>
        <v>4</v>
      </c>
      <c r="BN9" s="1194">
        <f t="shared" ref="BN9:BN12" si="1">SUM(BL9+BM9)</f>
        <v>4</v>
      </c>
      <c r="BO9" s="1195">
        <f>BJ9+'4 bba Önkorm '!DM9</f>
        <v>4</v>
      </c>
      <c r="BP9" s="1195">
        <f>BK9+'4 bba Önkorm '!DN9</f>
        <v>4</v>
      </c>
      <c r="BQ9" s="1195">
        <f>BL9+'4 bba Önkorm '!DO9</f>
        <v>0</v>
      </c>
      <c r="BR9" s="1196">
        <f>BM9+'4 bba Önkorm '!DP9</f>
        <v>4</v>
      </c>
      <c r="BS9" s="1196">
        <f>BN9+'4 bba Önkorm '!DQ9</f>
        <v>4</v>
      </c>
    </row>
    <row r="10" spans="1:71" s="986" customFormat="1" ht="15" customHeight="1">
      <c r="A10" s="858" t="s">
        <v>696</v>
      </c>
      <c r="B10" s="1193"/>
      <c r="E10" s="986">
        <v>0</v>
      </c>
      <c r="J10" s="986">
        <f>SUM(H10+I10)</f>
        <v>0</v>
      </c>
      <c r="K10" s="986">
        <f>H10-G10</f>
        <v>0</v>
      </c>
      <c r="M10" s="986">
        <v>4</v>
      </c>
      <c r="O10" s="986">
        <f>SUM(M10+N10)</f>
        <v>4</v>
      </c>
      <c r="P10" s="986">
        <f>M10-L10</f>
        <v>4</v>
      </c>
      <c r="T10" s="986">
        <f>SUM(R10+S10)</f>
        <v>0</v>
      </c>
      <c r="U10" s="986">
        <f>R10-Q10</f>
        <v>0</v>
      </c>
      <c r="Y10" s="986">
        <f>SUM(W10+X10)</f>
        <v>0</v>
      </c>
      <c r="Z10" s="986">
        <f>W10-V10</f>
        <v>0</v>
      </c>
      <c r="AD10" s="986">
        <f>SUM(AB10+AC10)</f>
        <v>0</v>
      </c>
      <c r="AI10" s="986">
        <f>SUM(AG10+AH10)</f>
        <v>0</v>
      </c>
      <c r="BA10" s="1066"/>
      <c r="BF10" s="1066"/>
      <c r="BJ10" s="1194"/>
      <c r="BK10" s="1194">
        <f>SUM(C10+H10+M10+R10+W10+AB10+AG10+AL10+AQ10+AV10+BA10+BF10)</f>
        <v>4</v>
      </c>
      <c r="BL10" s="1194">
        <f>SUM(D10+I10+N10+S10+X10+AC10+AH10+AM10+AR10+AW10+BB10+BG10)</f>
        <v>0</v>
      </c>
      <c r="BM10" s="1194">
        <f>SUM(BK10+BL10)</f>
        <v>4</v>
      </c>
      <c r="BN10" s="1194">
        <f t="shared" si="1"/>
        <v>4</v>
      </c>
      <c r="BO10" s="1195"/>
      <c r="BP10" s="1195">
        <f>M10+BF10</f>
        <v>4</v>
      </c>
      <c r="BQ10" s="1195">
        <f>N10+BG10</f>
        <v>0</v>
      </c>
      <c r="BR10" s="1196">
        <f>SUM(BP10+BQ10)</f>
        <v>4</v>
      </c>
      <c r="BS10" s="1196">
        <f>BN10+'4 bba Önkorm '!DQ10</f>
        <v>4</v>
      </c>
    </row>
    <row r="11" spans="1:71" s="986" customFormat="1" ht="15" customHeight="1">
      <c r="A11" s="858" t="s">
        <v>697</v>
      </c>
      <c r="B11" s="1193"/>
      <c r="E11" s="986">
        <f>SUM(C11+D11)</f>
        <v>0</v>
      </c>
      <c r="F11" s="986">
        <f>C11-B11</f>
        <v>0</v>
      </c>
      <c r="J11" s="986">
        <f>SUM(H11+I11)</f>
        <v>0</v>
      </c>
      <c r="K11" s="986">
        <f>H11-G11</f>
        <v>0</v>
      </c>
      <c r="M11" s="986">
        <v>4</v>
      </c>
      <c r="O11" s="986">
        <f>SUM(M11+N11)</f>
        <v>4</v>
      </c>
      <c r="P11" s="986">
        <f>M11-L11</f>
        <v>4</v>
      </c>
      <c r="T11" s="986">
        <f>SUM(R11+S11)</f>
        <v>0</v>
      </c>
      <c r="U11" s="986">
        <f>R11-Q11</f>
        <v>0</v>
      </c>
      <c r="Y11" s="986">
        <f>SUM(W11+X11)</f>
        <v>0</v>
      </c>
      <c r="Z11" s="986">
        <f>W11-V11</f>
        <v>0</v>
      </c>
      <c r="AD11" s="986">
        <f>SUM(AB11+AC11)</f>
        <v>0</v>
      </c>
      <c r="AE11" s="986">
        <f>AB11-AA11</f>
        <v>0</v>
      </c>
      <c r="AI11" s="986">
        <f>SUM(AG11+AH11)</f>
        <v>0</v>
      </c>
      <c r="AJ11" s="986">
        <f>AG11-AF11</f>
        <v>0</v>
      </c>
      <c r="AN11" s="986">
        <f>SUM(AL11+AM11)</f>
        <v>0</v>
      </c>
      <c r="AO11" s="986">
        <f>AL11-AK11</f>
        <v>0</v>
      </c>
      <c r="AS11" s="986">
        <f>SUM(AQ11+AR11)</f>
        <v>0</v>
      </c>
      <c r="AT11" s="986">
        <f>AQ11-AP11</f>
        <v>0</v>
      </c>
      <c r="AY11" s="986">
        <f>AV11-AU11</f>
        <v>0</v>
      </c>
      <c r="BA11" s="1066"/>
      <c r="BD11" s="986">
        <f>BA11-AZ11</f>
        <v>0</v>
      </c>
      <c r="BF11" s="1066"/>
      <c r="BH11" s="986">
        <f>SUM(BF11+BG11)</f>
        <v>0</v>
      </c>
      <c r="BI11" s="986">
        <f>BF11-BE11</f>
        <v>0</v>
      </c>
      <c r="BJ11" s="1194">
        <f>SUM(B11+G11+L11+Q11+V11+AA11+AF11+AK11+AP11+AU11+AZ11+BE11)</f>
        <v>0</v>
      </c>
      <c r="BK11" s="1194">
        <f>SUM(C11+H11+M11+R11+W11+AB11+AG11+AL11+AQ11+AV11+BA11+BF11)</f>
        <v>4</v>
      </c>
      <c r="BL11" s="1194">
        <f>SUM(D11+I11+N11+S11+X11+AC11+AH11+AM11+AR11+AW11+BB11+BG11)</f>
        <v>0</v>
      </c>
      <c r="BM11" s="1194">
        <f>SUM(BK11+BL11)</f>
        <v>4</v>
      </c>
      <c r="BN11" s="1194">
        <f t="shared" si="1"/>
        <v>4</v>
      </c>
      <c r="BO11" s="1195"/>
      <c r="BP11" s="1195">
        <f>M11+BF11</f>
        <v>4</v>
      </c>
      <c r="BQ11" s="1195">
        <f>N11+BG11</f>
        <v>0</v>
      </c>
      <c r="BR11" s="1196">
        <f>SUM(BP11+BQ11)</f>
        <v>4</v>
      </c>
      <c r="BS11" s="1196">
        <f>BN11+'4 bba Önkorm '!DQ11</f>
        <v>4</v>
      </c>
    </row>
    <row r="12" spans="1:71" s="986" customFormat="1" ht="15" customHeight="1">
      <c r="A12" s="858" t="s">
        <v>831</v>
      </c>
      <c r="B12" s="1193"/>
      <c r="E12" s="986">
        <v>0</v>
      </c>
      <c r="J12" s="986">
        <v>0</v>
      </c>
      <c r="O12" s="986">
        <v>4</v>
      </c>
      <c r="P12" s="986">
        <v>4</v>
      </c>
      <c r="T12" s="986">
        <v>0</v>
      </c>
      <c r="Y12" s="986">
        <v>0</v>
      </c>
      <c r="AD12" s="986">
        <v>0</v>
      </c>
      <c r="AI12" s="986">
        <v>0</v>
      </c>
      <c r="BA12" s="1066"/>
      <c r="BF12" s="1066"/>
      <c r="BJ12" s="1194"/>
      <c r="BK12" s="1194"/>
      <c r="BL12" s="1194"/>
      <c r="BM12" s="1194">
        <v>4</v>
      </c>
      <c r="BN12" s="1194">
        <f t="shared" si="1"/>
        <v>4</v>
      </c>
      <c r="BO12" s="1195"/>
      <c r="BP12" s="1195"/>
      <c r="BQ12" s="1195"/>
      <c r="BR12" s="1196">
        <v>4</v>
      </c>
      <c r="BS12" s="1196">
        <f>BN12+'4 bba Önkorm '!DQ12</f>
        <v>4</v>
      </c>
    </row>
    <row r="13" spans="1:71" s="986" customFormat="1" ht="9" customHeight="1">
      <c r="A13" s="980"/>
      <c r="B13" s="1193"/>
      <c r="BA13" s="1066"/>
      <c r="BF13" s="1066"/>
      <c r="BJ13" s="1194"/>
      <c r="BK13" s="1194"/>
      <c r="BL13" s="1194"/>
      <c r="BM13" s="1194"/>
      <c r="BN13" s="985"/>
      <c r="BO13" s="1195"/>
      <c r="BP13" s="1195"/>
      <c r="BQ13" s="1195"/>
      <c r="BR13" s="1196"/>
      <c r="BS13" s="1196"/>
    </row>
    <row r="14" spans="1:71" s="986" customFormat="1" ht="15" customHeight="1">
      <c r="A14" s="980" t="s">
        <v>894</v>
      </c>
      <c r="B14" s="432"/>
      <c r="E14" s="986">
        <f>SUM(C14+D14)</f>
        <v>0</v>
      </c>
      <c r="F14" s="986">
        <f>C14-B14</f>
        <v>0</v>
      </c>
      <c r="J14" s="986">
        <f>SUM(H14+I14)</f>
        <v>0</v>
      </c>
      <c r="K14" s="986">
        <f>H14-G14</f>
        <v>0</v>
      </c>
      <c r="O14" s="986">
        <f>SUM(M14+N14)</f>
        <v>0</v>
      </c>
      <c r="T14" s="986">
        <f>SUM(R14+S14)</f>
        <v>0</v>
      </c>
      <c r="U14" s="986">
        <f>R14-Q14</f>
        <v>0</v>
      </c>
      <c r="Y14" s="986">
        <f>SUM(W14+X14)</f>
        <v>0</v>
      </c>
      <c r="Z14" s="986">
        <f>W14-V14</f>
        <v>0</v>
      </c>
      <c r="AA14" s="986">
        <v>126</v>
      </c>
      <c r="AB14" s="986">
        <v>126</v>
      </c>
      <c r="AD14" s="986">
        <f>SUM(AB14+AC14)</f>
        <v>126</v>
      </c>
      <c r="AE14" s="986">
        <v>121</v>
      </c>
      <c r="AI14" s="986">
        <f>SUM(AG14+AH14)</f>
        <v>0</v>
      </c>
      <c r="AJ14" s="986">
        <f>AG14-AF14</f>
        <v>0</v>
      </c>
      <c r="AN14" s="986">
        <f>SUM(AL14+AM14)</f>
        <v>0</v>
      </c>
      <c r="AO14" s="986">
        <f>AL14-AK14</f>
        <v>0</v>
      </c>
      <c r="AS14" s="986">
        <f>SUM(AQ14+AR14)</f>
        <v>0</v>
      </c>
      <c r="AT14" s="986">
        <f>AQ14-AP14</f>
        <v>0</v>
      </c>
      <c r="AX14" s="986">
        <f>SUM(AV14+AW14)</f>
        <v>0</v>
      </c>
      <c r="AY14" s="986">
        <f>AV14-AU14</f>
        <v>0</v>
      </c>
      <c r="BA14" s="1066"/>
      <c r="BC14" s="986">
        <f>SUM(BA14+BB14)</f>
        <v>0</v>
      </c>
      <c r="BD14" s="986">
        <f>BA14-AZ14</f>
        <v>0</v>
      </c>
      <c r="BF14" s="1066"/>
      <c r="BH14" s="986">
        <f>SUM(BF14+BG14)</f>
        <v>0</v>
      </c>
      <c r="BI14" s="986">
        <f>BF14-BE14</f>
        <v>0</v>
      </c>
      <c r="BJ14" s="1194">
        <f t="shared" ref="BJ14:BL15" si="2">SUM(B14+G14+L14+Q14+V14+AA14+AF14+AK14+AP14+AU14+AZ14+BE14)</f>
        <v>126</v>
      </c>
      <c r="BK14" s="1194">
        <f t="shared" si="2"/>
        <v>126</v>
      </c>
      <c r="BL14" s="1194">
        <f t="shared" si="2"/>
        <v>0</v>
      </c>
      <c r="BM14" s="1194">
        <f>SUM(BK14+BL14)</f>
        <v>126</v>
      </c>
      <c r="BN14" s="985">
        <f>SUM(F14+K14+P14+U14+Z14+AE14+AJ14+AO14+AT14+AY14+BD14+BI14)</f>
        <v>121</v>
      </c>
      <c r="BO14" s="1195">
        <f>BJ14+'4 bba Önkorm '!DM13</f>
        <v>126</v>
      </c>
      <c r="BP14" s="1195">
        <f>BK14+'4 bba Önkorm '!DN13</f>
        <v>126</v>
      </c>
      <c r="BQ14" s="1195">
        <f>BL14+'4 bba Önkorm '!DO13</f>
        <v>0</v>
      </c>
      <c r="BR14" s="1196">
        <f>BM14+'4 bba Önkorm '!DP13</f>
        <v>126</v>
      </c>
      <c r="BS14" s="1196">
        <f>BN14+'4 bba Önkorm '!DQ13</f>
        <v>121</v>
      </c>
    </row>
    <row r="15" spans="1:71" s="986" customFormat="1" ht="15" customHeight="1">
      <c r="A15" s="980" t="s">
        <v>895</v>
      </c>
      <c r="B15" s="432"/>
      <c r="E15" s="986">
        <f>SUM(C15+D15)</f>
        <v>0</v>
      </c>
      <c r="F15" s="986">
        <f>C15-B15</f>
        <v>0</v>
      </c>
      <c r="J15" s="986">
        <f>SUM(H15+I15)</f>
        <v>0</v>
      </c>
      <c r="K15" s="986">
        <f>H15-G15</f>
        <v>0</v>
      </c>
      <c r="O15" s="986">
        <f>SUM(M15+N15)</f>
        <v>0</v>
      </c>
      <c r="T15" s="986">
        <f>SUM(R15+S15)</f>
        <v>0</v>
      </c>
      <c r="U15" s="986">
        <f>R15-Q15</f>
        <v>0</v>
      </c>
      <c r="Y15" s="986">
        <f>SUM(W15+X15)</f>
        <v>0</v>
      </c>
      <c r="AA15" s="986">
        <v>126</v>
      </c>
      <c r="AB15" s="986">
        <v>135</v>
      </c>
      <c r="AD15" s="986">
        <f>SUM(AB15+AC15)</f>
        <v>135</v>
      </c>
      <c r="AE15" s="986">
        <v>121</v>
      </c>
      <c r="AI15" s="986">
        <f>SUM(AG15+AH15)</f>
        <v>0</v>
      </c>
      <c r="BA15" s="1066"/>
      <c r="BF15" s="1066"/>
      <c r="BJ15" s="1194">
        <f t="shared" si="2"/>
        <v>126</v>
      </c>
      <c r="BK15" s="1194">
        <f t="shared" si="2"/>
        <v>135</v>
      </c>
      <c r="BL15" s="1194">
        <f t="shared" si="2"/>
        <v>0</v>
      </c>
      <c r="BM15" s="1194">
        <f>SUM(BK15+BL15)</f>
        <v>135</v>
      </c>
      <c r="BN15" s="985">
        <f>SUM(F15+K15+P15+U15+Z15+AE15+AJ15+AO15+AT15+AY15+BD15+BI15)</f>
        <v>121</v>
      </c>
      <c r="BO15" s="1195">
        <f>BJ15+'4 bba Önkorm '!DM14</f>
        <v>126</v>
      </c>
      <c r="BP15" s="1195">
        <f>BK15+'4 bba Önkorm '!DN14</f>
        <v>135</v>
      </c>
      <c r="BQ15" s="1195">
        <f>BL15+'4 bba Önkorm '!DO14</f>
        <v>0</v>
      </c>
      <c r="BR15" s="1196">
        <f>BM15+'4 bba Önkorm '!DP14</f>
        <v>135</v>
      </c>
      <c r="BS15" s="1196">
        <f>BN15+'4 bba Önkorm '!DQ14</f>
        <v>121</v>
      </c>
    </row>
    <row r="16" spans="1:71" s="986" customFormat="1" ht="8.25" customHeight="1">
      <c r="A16" s="980"/>
      <c r="B16" s="1193"/>
      <c r="BA16" s="1066"/>
      <c r="BF16" s="1066"/>
      <c r="BJ16" s="985"/>
      <c r="BK16" s="1194"/>
      <c r="BL16" s="1194"/>
      <c r="BM16" s="1194"/>
      <c r="BN16" s="985"/>
      <c r="BO16" s="1090"/>
      <c r="BP16" s="1090"/>
      <c r="BQ16" s="1090"/>
      <c r="BR16" s="985"/>
      <c r="BS16" s="985"/>
    </row>
    <row r="17" spans="1:71" ht="15" customHeight="1">
      <c r="A17" s="961" t="s">
        <v>832</v>
      </c>
      <c r="B17" s="809"/>
      <c r="C17" s="633"/>
      <c r="D17" s="633"/>
      <c r="E17" s="633"/>
      <c r="F17" s="633"/>
      <c r="G17" s="633"/>
      <c r="H17" s="633"/>
      <c r="I17" s="633"/>
      <c r="J17" s="633"/>
      <c r="K17" s="633"/>
      <c r="L17" s="633"/>
      <c r="M17" s="633"/>
      <c r="N17" s="633"/>
      <c r="O17" s="633"/>
      <c r="P17" s="633"/>
      <c r="Q17" s="633"/>
      <c r="R17" s="633"/>
      <c r="S17" s="633"/>
      <c r="T17" s="633"/>
      <c r="U17" s="633"/>
      <c r="V17" s="633"/>
      <c r="W17" s="633"/>
      <c r="X17" s="633"/>
      <c r="Y17" s="633"/>
      <c r="Z17" s="633"/>
      <c r="AA17" s="633"/>
      <c r="AB17" s="633"/>
      <c r="AC17" s="633"/>
      <c r="AD17" s="633"/>
      <c r="AE17" s="633"/>
      <c r="AF17" s="633"/>
      <c r="AG17" s="633"/>
      <c r="AH17" s="633"/>
      <c r="AI17" s="633"/>
      <c r="AJ17" s="633"/>
      <c r="AK17" s="633"/>
      <c r="AL17" s="633"/>
      <c r="AM17" s="633"/>
      <c r="AN17" s="633"/>
      <c r="AO17" s="633"/>
      <c r="AP17" s="633"/>
      <c r="AQ17" s="633"/>
      <c r="AR17" s="633"/>
      <c r="AS17" s="633"/>
      <c r="AT17" s="633"/>
      <c r="AU17" s="633"/>
      <c r="AV17" s="633"/>
      <c r="AW17" s="633"/>
      <c r="AX17" s="633"/>
      <c r="AY17" s="633"/>
      <c r="AZ17" s="633"/>
      <c r="BA17" s="633"/>
      <c r="BB17" s="633"/>
      <c r="BC17" s="633"/>
      <c r="BD17" s="633"/>
      <c r="BE17" s="633"/>
      <c r="BF17" s="633"/>
      <c r="BG17" s="633"/>
      <c r="BH17" s="633"/>
      <c r="BI17" s="633"/>
      <c r="BJ17" s="809"/>
      <c r="BK17" s="1007"/>
      <c r="BL17" s="1007"/>
      <c r="BM17" s="1007"/>
      <c r="BO17" s="809"/>
      <c r="BP17" s="809"/>
      <c r="BQ17" s="809"/>
      <c r="BR17" s="809"/>
    </row>
    <row r="18" spans="1:71" ht="15" hidden="1" customHeight="1">
      <c r="A18" s="405" t="s">
        <v>11</v>
      </c>
      <c r="B18" s="321"/>
      <c r="C18" s="1019"/>
      <c r="D18" s="1019"/>
      <c r="E18" s="1019">
        <f>SUM(C18+D18)</f>
        <v>0</v>
      </c>
      <c r="F18" s="1019"/>
      <c r="G18" s="1019"/>
      <c r="H18" s="1019"/>
      <c r="I18" s="1019"/>
      <c r="J18" s="1019">
        <f>SUM(H18+I18)</f>
        <v>0</v>
      </c>
      <c r="K18" s="1019"/>
      <c r="L18" s="1019"/>
      <c r="M18" s="1019"/>
      <c r="N18" s="1019"/>
      <c r="O18" s="1019">
        <f>SUM(M18+N18)</f>
        <v>0</v>
      </c>
      <c r="P18" s="1019"/>
      <c r="Q18" s="1019"/>
      <c r="R18" s="1019"/>
      <c r="S18" s="1019"/>
      <c r="T18" s="1019">
        <f>SUM(R18+S18)</f>
        <v>0</v>
      </c>
      <c r="U18" s="1019"/>
      <c r="V18" s="1019"/>
      <c r="W18" s="1019"/>
      <c r="X18" s="1019"/>
      <c r="Y18" s="1019">
        <f>SUM(W18+X18)</f>
        <v>0</v>
      </c>
      <c r="Z18" s="1019"/>
      <c r="AA18" s="1019"/>
      <c r="AB18" s="1019"/>
      <c r="AC18" s="1019"/>
      <c r="AD18" s="1019">
        <f>SUM(AB18+AC18)</f>
        <v>0</v>
      </c>
      <c r="AE18" s="1019"/>
      <c r="AF18" s="1019"/>
      <c r="AG18" s="1019"/>
      <c r="AH18" s="1019"/>
      <c r="AI18" s="1019">
        <f>SUM(AG18+AH18)</f>
        <v>0</v>
      </c>
      <c r="AJ18" s="1019"/>
      <c r="AK18" s="1019"/>
      <c r="AL18" s="1019"/>
      <c r="AM18" s="1019"/>
      <c r="AN18" s="1019">
        <f>SUM(AL18+AM18)</f>
        <v>0</v>
      </c>
      <c r="AO18" s="1019"/>
      <c r="AP18" s="1019"/>
      <c r="AQ18" s="1019"/>
      <c r="AR18" s="1019"/>
      <c r="AS18" s="1019">
        <f>SUM(AQ18+AR18)</f>
        <v>0</v>
      </c>
      <c r="AT18" s="1019"/>
      <c r="AU18" s="1019"/>
      <c r="AV18" s="1019"/>
      <c r="AW18" s="1019"/>
      <c r="AX18" s="1019">
        <f>SUM(AV18+AW18)</f>
        <v>0</v>
      </c>
      <c r="AY18" s="1019"/>
      <c r="AZ18" s="1019"/>
      <c r="BA18" s="1094"/>
      <c r="BB18" s="1019"/>
      <c r="BC18" s="1019">
        <f>SUM(BA18+BB18)</f>
        <v>0</v>
      </c>
      <c r="BD18" s="1019"/>
      <c r="BE18" s="1019"/>
      <c r="BF18" s="1094"/>
      <c r="BG18" s="1019"/>
      <c r="BH18" s="1019">
        <f>SUM(BF18+BG18)</f>
        <v>0</v>
      </c>
      <c r="BI18" s="1019"/>
      <c r="BJ18" s="1090"/>
      <c r="BK18" s="1007">
        <f t="shared" ref="BK18:BL21" si="3">SUM(C18+H18+M18+R18+W18+AB18+AG18+AL18+AQ18+AV18+BA18+BF18)</f>
        <v>0</v>
      </c>
      <c r="BL18" s="1007">
        <f t="shared" si="3"/>
        <v>0</v>
      </c>
      <c r="BM18" s="1013">
        <f>SUM(BK18+BL18)</f>
        <v>0</v>
      </c>
      <c r="BO18" s="1090">
        <f>BJ18+'4 bba Önkorm '!DM17</f>
        <v>0</v>
      </c>
      <c r="BP18" s="1090">
        <f>BK18+'4 bba Önkorm '!DN17</f>
        <v>0</v>
      </c>
      <c r="BQ18" s="1090">
        <f>BL18+'4 bba Önkorm '!DO17</f>
        <v>0</v>
      </c>
      <c r="BR18" s="1090">
        <f>BM18+'4 bba Önkorm '!DP17</f>
        <v>0</v>
      </c>
      <c r="BS18" s="961">
        <f>BN18+'4 bba Önkorm '!DQ17</f>
        <v>0</v>
      </c>
    </row>
    <row r="19" spans="1:71" ht="15" customHeight="1">
      <c r="A19" s="405" t="s">
        <v>701</v>
      </c>
      <c r="B19" s="321"/>
      <c r="C19" s="1019">
        <f>638-638</f>
        <v>0</v>
      </c>
      <c r="D19" s="1019"/>
      <c r="E19" s="1019">
        <f>SUM(C19+D19)</f>
        <v>0</v>
      </c>
      <c r="F19" s="1019"/>
      <c r="G19" s="1019"/>
      <c r="H19" s="1019"/>
      <c r="I19" s="1019"/>
      <c r="J19" s="1019">
        <f>SUM(H19+I19)</f>
        <v>0</v>
      </c>
      <c r="K19" s="1019"/>
      <c r="L19" s="1019">
        <v>3027000</v>
      </c>
      <c r="M19" s="1019">
        <v>0</v>
      </c>
      <c r="N19" s="1019"/>
      <c r="O19" s="1019">
        <f>SUM(M19+N19)</f>
        <v>0</v>
      </c>
      <c r="P19" s="1019"/>
      <c r="Q19" s="1019"/>
      <c r="R19" s="1019"/>
      <c r="S19" s="1019"/>
      <c r="T19" s="1019">
        <f>SUM(R19+S19)</f>
        <v>0</v>
      </c>
      <c r="U19" s="1019"/>
      <c r="V19" s="1019"/>
      <c r="W19" s="1019"/>
      <c r="X19" s="1019"/>
      <c r="Y19" s="1019">
        <f>SUM(W19+X19)</f>
        <v>0</v>
      </c>
      <c r="Z19" s="1019"/>
      <c r="AA19" s="1019">
        <v>39421000</v>
      </c>
      <c r="AB19" s="1019">
        <v>32125736</v>
      </c>
      <c r="AC19" s="1019">
        <v>-2257049</v>
      </c>
      <c r="AD19" s="1019">
        <v>17745632</v>
      </c>
      <c r="AE19" s="1019"/>
      <c r="AF19" s="1019"/>
      <c r="AG19" s="1019"/>
      <c r="AH19" s="1019"/>
      <c r="AI19" s="1019">
        <f>SUM(AG19+AH19)</f>
        <v>0</v>
      </c>
      <c r="AJ19" s="1019"/>
      <c r="AK19" s="1019"/>
      <c r="AL19" s="1019"/>
      <c r="AM19" s="1019"/>
      <c r="AN19" s="1019">
        <f>SUM(AL19+AM19)</f>
        <v>0</v>
      </c>
      <c r="AO19" s="1019">
        <f>AL19-AK19</f>
        <v>0</v>
      </c>
      <c r="AP19" s="1019"/>
      <c r="AQ19" s="1019"/>
      <c r="AR19" s="1019"/>
      <c r="AS19" s="1019">
        <f>SUM(AQ19+AR19)</f>
        <v>0</v>
      </c>
      <c r="AT19" s="1019">
        <f>AQ19-AP19</f>
        <v>0</v>
      </c>
      <c r="AU19" s="1019"/>
      <c r="AV19" s="1019"/>
      <c r="AW19" s="1019"/>
      <c r="AX19" s="1019">
        <f>SUM(AV19+AW19)</f>
        <v>0</v>
      </c>
      <c r="AY19" s="1019">
        <f>AV19-AU19</f>
        <v>0</v>
      </c>
      <c r="AZ19" s="1019"/>
      <c r="BA19" s="1094"/>
      <c r="BB19" s="1019"/>
      <c r="BC19" s="1019">
        <f>SUM(BA19+BB19)</f>
        <v>0</v>
      </c>
      <c r="BD19" s="1019">
        <f>BA19-AZ19</f>
        <v>0</v>
      </c>
      <c r="BE19" s="1019"/>
      <c r="BF19" s="1094"/>
      <c r="BG19" s="1019"/>
      <c r="BH19" s="1019">
        <f>SUM(BF19+BG19)</f>
        <v>0</v>
      </c>
      <c r="BI19" s="1019">
        <f>BF19-BE19</f>
        <v>0</v>
      </c>
      <c r="BJ19" s="1007">
        <f>SUM(B19+G19+L19+Q19+V19+AA19+AF19+AK19+AP19+AU19+AZ19+BE19)</f>
        <v>42448000</v>
      </c>
      <c r="BK19" s="1007">
        <f t="shared" si="3"/>
        <v>32125736</v>
      </c>
      <c r="BL19" s="1007">
        <f t="shared" si="3"/>
        <v>-2257049</v>
      </c>
      <c r="BM19" s="1013">
        <f t="shared" ref="BM19:BM34" si="4">SUM(E19+J19+O19+T19+Y19+AD19+AI19+AN19+AS19+AX19+BC19+BH19)</f>
        <v>17745632</v>
      </c>
      <c r="BN19" s="1013">
        <f>SUM(F19+K19+P19+U19+Z19+AE19+AJ19+AO19+AT19+AY19+BD19+BI19)</f>
        <v>0</v>
      </c>
      <c r="BO19" s="1090">
        <f>BJ19+'4 bba Önkorm '!DM18</f>
        <v>42448000</v>
      </c>
      <c r="BP19" s="1090">
        <f>BK19+'4 bba Önkorm '!DN18</f>
        <v>32125736</v>
      </c>
      <c r="BQ19" s="1090">
        <f>BL19+'4 bba Önkorm '!DO18</f>
        <v>-2257049</v>
      </c>
      <c r="BR19" s="1090">
        <f>BM19+'4 bba Önkorm '!DP18</f>
        <v>17745632</v>
      </c>
      <c r="BS19" s="1090">
        <f>BN19+'4 bba Önkorm '!DQ18</f>
        <v>0</v>
      </c>
    </row>
    <row r="20" spans="1:71" ht="15" customHeight="1">
      <c r="A20" s="405" t="s">
        <v>702</v>
      </c>
      <c r="B20" s="321">
        <v>42422000</v>
      </c>
      <c r="C20" s="1019">
        <v>38122000</v>
      </c>
      <c r="D20" s="1019">
        <v>-600000</v>
      </c>
      <c r="E20" s="1019">
        <v>37391401</v>
      </c>
      <c r="F20" s="1019">
        <v>35503901</v>
      </c>
      <c r="G20" s="1019">
        <v>3990000</v>
      </c>
      <c r="H20" s="1019">
        <v>3990000</v>
      </c>
      <c r="I20" s="1019"/>
      <c r="J20" s="1019">
        <v>6790000</v>
      </c>
      <c r="K20" s="1019">
        <v>2069780</v>
      </c>
      <c r="L20" s="1019">
        <v>28162000</v>
      </c>
      <c r="M20" s="1019">
        <v>33385724</v>
      </c>
      <c r="N20" s="1019">
        <v>2196875</v>
      </c>
      <c r="O20" s="1019">
        <v>37974699</v>
      </c>
      <c r="P20" s="1019">
        <f>891200+21731358+1009635</f>
        <v>23632193</v>
      </c>
      <c r="Q20" s="1019"/>
      <c r="R20" s="1019"/>
      <c r="S20" s="1019"/>
      <c r="T20" s="1019">
        <v>360000</v>
      </c>
      <c r="U20" s="1019">
        <v>360000</v>
      </c>
      <c r="V20" s="1019"/>
      <c r="W20" s="1019"/>
      <c r="X20" s="1019"/>
      <c r="Y20" s="1019">
        <v>1300000</v>
      </c>
      <c r="Z20" s="1019">
        <v>1300000</v>
      </c>
      <c r="AA20" s="1019">
        <v>14067000</v>
      </c>
      <c r="AB20" s="1019">
        <v>16051772</v>
      </c>
      <c r="AC20" s="1019"/>
      <c r="AD20" s="1019">
        <v>20827222</v>
      </c>
      <c r="AE20" s="1019">
        <f>3531141+13520582</f>
        <v>17051723</v>
      </c>
      <c r="AF20" s="1019">
        <v>92171000</v>
      </c>
      <c r="AG20" s="1019">
        <v>92171000</v>
      </c>
      <c r="AH20" s="1019"/>
      <c r="AI20" s="1019">
        <v>92463355</v>
      </c>
      <c r="AJ20" s="1019">
        <v>92443792</v>
      </c>
      <c r="AK20" s="1019"/>
      <c r="AL20" s="1019"/>
      <c r="AM20" s="1019"/>
      <c r="AN20" s="1019">
        <f>SUM(AL20+AM20)</f>
        <v>0</v>
      </c>
      <c r="AO20" s="1019">
        <f>AL20-AK20</f>
        <v>0</v>
      </c>
      <c r="AP20" s="1019"/>
      <c r="AQ20" s="1019"/>
      <c r="AR20" s="1019"/>
      <c r="AS20" s="1019">
        <f>SUM(AQ20+AR20)</f>
        <v>0</v>
      </c>
      <c r="AT20" s="1019">
        <f>AQ20-AP20</f>
        <v>0</v>
      </c>
      <c r="AU20" s="1019"/>
      <c r="AV20" s="1019"/>
      <c r="AW20" s="1019"/>
      <c r="AX20" s="1019">
        <f>SUM(AV20+AW20)</f>
        <v>0</v>
      </c>
      <c r="AY20" s="1019">
        <f>AV20-AU20</f>
        <v>0</v>
      </c>
      <c r="AZ20" s="1019"/>
      <c r="BA20" s="1094"/>
      <c r="BB20" s="1019"/>
      <c r="BC20" s="1019">
        <f>SUM(BA20+BB20)</f>
        <v>0</v>
      </c>
      <c r="BD20" s="1019">
        <f>BA20-AZ20</f>
        <v>0</v>
      </c>
      <c r="BE20" s="1019"/>
      <c r="BF20" s="1094"/>
      <c r="BG20" s="1019"/>
      <c r="BH20" s="1019">
        <f>SUM(BF20+BG20)</f>
        <v>0</v>
      </c>
      <c r="BI20" s="1019">
        <f>BF20-BE20</f>
        <v>0</v>
      </c>
      <c r="BJ20" s="1007">
        <f>SUM(B20+G20+L20+Q20+V20+AA20+AF20+AK20+AP20+AU20+AZ20+BE20)</f>
        <v>180812000</v>
      </c>
      <c r="BK20" s="1007">
        <f t="shared" si="3"/>
        <v>183720496</v>
      </c>
      <c r="BL20" s="1007">
        <f t="shared" si="3"/>
        <v>1596875</v>
      </c>
      <c r="BM20" s="1013">
        <f t="shared" si="4"/>
        <v>197106677</v>
      </c>
      <c r="BN20" s="1013">
        <f t="shared" ref="BN20:BN34" si="5">SUM(F20+K20+P20+U20+Z20+AE20+AJ20+AO20+AT20+AY20+BD20+BI20)</f>
        <v>172361389</v>
      </c>
      <c r="BO20" s="1090">
        <f>BJ20+'4 bba Önkorm '!DM19</f>
        <v>180812000</v>
      </c>
      <c r="BP20" s="1090">
        <f>BK20+'4 bba Önkorm '!DN19</f>
        <v>186720496</v>
      </c>
      <c r="BQ20" s="1090">
        <f>BL20+'4 bba Önkorm '!DO19</f>
        <v>1596875</v>
      </c>
      <c r="BR20" s="1090">
        <f>BM20+'4 bba Önkorm '!DP19</f>
        <v>200106677</v>
      </c>
      <c r="BS20" s="1090">
        <f>BN20+'4 bba Önkorm '!DQ19</f>
        <v>174211576</v>
      </c>
    </row>
    <row r="21" spans="1:71" ht="15" customHeight="1">
      <c r="A21" s="455" t="s">
        <v>703</v>
      </c>
      <c r="B21" s="432">
        <v>12300000</v>
      </c>
      <c r="C21" s="1019">
        <v>11255100</v>
      </c>
      <c r="D21" s="1019">
        <v>-300000</v>
      </c>
      <c r="E21" s="1019">
        <v>10955100</v>
      </c>
      <c r="F21" s="1019">
        <v>9944443</v>
      </c>
      <c r="G21" s="1019">
        <v>1024000</v>
      </c>
      <c r="H21" s="1019">
        <v>1024000</v>
      </c>
      <c r="I21" s="1019"/>
      <c r="J21" s="1019">
        <v>1578400</v>
      </c>
      <c r="K21" s="1019">
        <v>458102</v>
      </c>
      <c r="L21" s="1019">
        <v>20150000</v>
      </c>
      <c r="M21" s="1019">
        <v>21722139</v>
      </c>
      <c r="N21" s="1019">
        <v>648925</v>
      </c>
      <c r="O21" s="1019">
        <v>24278251</v>
      </c>
      <c r="P21" s="1019">
        <f>580800+13512579+477913</f>
        <v>14571292</v>
      </c>
      <c r="Q21" s="1019"/>
      <c r="R21" s="1019"/>
      <c r="S21" s="1019"/>
      <c r="T21" s="1019">
        <v>179928</v>
      </c>
      <c r="U21" s="1019">
        <v>164934</v>
      </c>
      <c r="V21" s="1019"/>
      <c r="W21" s="1019">
        <f>50-50</f>
        <v>0</v>
      </c>
      <c r="X21" s="1019"/>
      <c r="Y21" s="1019">
        <v>646380</v>
      </c>
      <c r="Z21" s="1019"/>
      <c r="AA21" s="1019">
        <v>10732000</v>
      </c>
      <c r="AB21" s="1019">
        <v>9899996</v>
      </c>
      <c r="AC21" s="1019">
        <v>-306876</v>
      </c>
      <c r="AD21" s="1019">
        <v>9381593</v>
      </c>
      <c r="AE21" s="1019">
        <f>1074038+3869140</f>
        <v>4943178</v>
      </c>
      <c r="AF21" s="1019">
        <v>23193000</v>
      </c>
      <c r="AG21" s="1019">
        <v>23193000</v>
      </c>
      <c r="AH21" s="1019"/>
      <c r="AI21" s="1019">
        <v>23033835</v>
      </c>
      <c r="AJ21" s="1019">
        <v>22810346</v>
      </c>
      <c r="AK21" s="1019"/>
      <c r="AL21" s="1019"/>
      <c r="AM21" s="1019"/>
      <c r="AN21" s="1019">
        <f>SUM(AL21+AM21)</f>
        <v>0</v>
      </c>
      <c r="AO21" s="1019">
        <f>AL21-AK21</f>
        <v>0</v>
      </c>
      <c r="AP21" s="1019"/>
      <c r="AQ21" s="1019"/>
      <c r="AR21" s="1019"/>
      <c r="AS21" s="1019">
        <f>SUM(AQ21+AR21)</f>
        <v>0</v>
      </c>
      <c r="AT21" s="1019">
        <f>AQ21-AP21</f>
        <v>0</v>
      </c>
      <c r="AU21" s="1019"/>
      <c r="AV21" s="1019"/>
      <c r="AW21" s="1019"/>
      <c r="AX21" s="1019">
        <f>SUM(AV21+AW21)</f>
        <v>0</v>
      </c>
      <c r="AY21" s="1019">
        <f>AV21-AU21</f>
        <v>0</v>
      </c>
      <c r="AZ21" s="1019"/>
      <c r="BA21" s="1094"/>
      <c r="BB21" s="1019"/>
      <c r="BC21" s="1019">
        <f>SUM(BA21+BB21)</f>
        <v>0</v>
      </c>
      <c r="BD21" s="1019">
        <f>BA21-AZ21</f>
        <v>0</v>
      </c>
      <c r="BE21" s="1019"/>
      <c r="BF21" s="1094"/>
      <c r="BG21" s="1019"/>
      <c r="BH21" s="1019">
        <f>SUM(BF21+BG21)</f>
        <v>0</v>
      </c>
      <c r="BI21" s="1019">
        <f>BF21-BE21</f>
        <v>0</v>
      </c>
      <c r="BJ21" s="1007">
        <f>SUM(B21+G21+L21+Q21+V21+AA21+AF21+AK21+AP21+AU21+AZ21+BE21)</f>
        <v>67399000</v>
      </c>
      <c r="BK21" s="1007">
        <f t="shared" si="3"/>
        <v>67094235</v>
      </c>
      <c r="BL21" s="1007">
        <f t="shared" si="3"/>
        <v>42049</v>
      </c>
      <c r="BM21" s="1013">
        <f t="shared" si="4"/>
        <v>70053487</v>
      </c>
      <c r="BN21" s="1013">
        <f t="shared" si="5"/>
        <v>52892295</v>
      </c>
      <c r="BO21" s="1090">
        <f>BJ21+'4 bba Önkorm '!DM20</f>
        <v>67399000</v>
      </c>
      <c r="BP21" s="1090">
        <f>BK21+'4 bba Önkorm '!DN20</f>
        <v>67823235</v>
      </c>
      <c r="BQ21" s="1090">
        <f>BL21+'4 bba Önkorm '!DO20</f>
        <v>42049</v>
      </c>
      <c r="BR21" s="1090">
        <f>BM21+'4 bba Önkorm '!DP20</f>
        <v>70782487</v>
      </c>
      <c r="BS21" s="1090">
        <f>BN21+'4 bba Önkorm '!DQ20</f>
        <v>53317545</v>
      </c>
    </row>
    <row r="22" spans="1:71" ht="15" hidden="1" customHeight="1">
      <c r="A22" s="1092" t="s">
        <v>704</v>
      </c>
      <c r="B22" s="432"/>
      <c r="C22" s="1019"/>
      <c r="D22" s="1019"/>
      <c r="E22" s="1019"/>
      <c r="F22" s="1019"/>
      <c r="G22" s="1019"/>
      <c r="H22" s="1019"/>
      <c r="I22" s="1019"/>
      <c r="J22" s="1019"/>
      <c r="K22" s="1019"/>
      <c r="L22" s="1019"/>
      <c r="M22" s="1019"/>
      <c r="N22" s="1019"/>
      <c r="O22" s="1019"/>
      <c r="P22" s="1019"/>
      <c r="Q22" s="1019"/>
      <c r="R22" s="1019"/>
      <c r="S22" s="1019"/>
      <c r="T22" s="1019"/>
      <c r="U22" s="1019"/>
      <c r="V22" s="1019"/>
      <c r="W22" s="1019"/>
      <c r="X22" s="1019"/>
      <c r="Y22" s="1019"/>
      <c r="Z22" s="1019"/>
      <c r="AA22" s="1019"/>
      <c r="AB22" s="1019"/>
      <c r="AC22" s="1019"/>
      <c r="AD22" s="1019"/>
      <c r="AE22" s="1019"/>
      <c r="AF22" s="1019"/>
      <c r="AG22" s="1019"/>
      <c r="AH22" s="1019"/>
      <c r="AI22" s="1019"/>
      <c r="AJ22" s="1019"/>
      <c r="AK22" s="1019"/>
      <c r="AL22" s="1019"/>
      <c r="AM22" s="1019"/>
      <c r="AN22" s="1019"/>
      <c r="AO22" s="1019"/>
      <c r="AP22" s="1019"/>
      <c r="AQ22" s="1019"/>
      <c r="AR22" s="1019"/>
      <c r="AS22" s="1019"/>
      <c r="AT22" s="1019"/>
      <c r="AU22" s="1019"/>
      <c r="AV22" s="1019"/>
      <c r="AW22" s="1019"/>
      <c r="AX22" s="1019"/>
      <c r="AY22" s="1019"/>
      <c r="AZ22" s="1019"/>
      <c r="BA22" s="1094"/>
      <c r="BB22" s="1019"/>
      <c r="BC22" s="1019"/>
      <c r="BD22" s="1019"/>
      <c r="BE22" s="1019"/>
      <c r="BF22" s="1094"/>
      <c r="BG22" s="1019"/>
      <c r="BH22" s="1019"/>
      <c r="BI22" s="1019"/>
      <c r="BJ22" s="1007"/>
      <c r="BK22" s="1007"/>
      <c r="BL22" s="1007"/>
      <c r="BM22" s="1013">
        <f t="shared" si="4"/>
        <v>0</v>
      </c>
      <c r="BN22" s="1013">
        <f t="shared" si="5"/>
        <v>0</v>
      </c>
      <c r="BO22" s="1090">
        <f>BJ22+'4 bba Önkorm '!DM21</f>
        <v>0</v>
      </c>
      <c r="BP22" s="1090">
        <f>BK22+'4 bba Önkorm '!DN21</f>
        <v>0</v>
      </c>
      <c r="BQ22" s="1090">
        <f>BL22+'4 bba Önkorm '!DO21</f>
        <v>0</v>
      </c>
      <c r="BR22" s="1090">
        <f>BM22+'4 bba Önkorm '!DP21</f>
        <v>0</v>
      </c>
      <c r="BS22" s="1090">
        <f>BN22+'4 bba Önkorm '!DQ21</f>
        <v>0</v>
      </c>
    </row>
    <row r="23" spans="1:71" ht="15" hidden="1" customHeight="1">
      <c r="A23" s="1092" t="s">
        <v>705</v>
      </c>
      <c r="B23" s="404"/>
      <c r="C23" s="1019"/>
      <c r="D23" s="1019"/>
      <c r="E23" s="1019">
        <f>SUM(C23+D23)</f>
        <v>0</v>
      </c>
      <c r="F23" s="1019"/>
      <c r="G23" s="1019"/>
      <c r="H23" s="1019"/>
      <c r="I23" s="1019"/>
      <c r="J23" s="1019">
        <f>SUM(H23+I23)</f>
        <v>0</v>
      </c>
      <c r="K23" s="1019"/>
      <c r="L23" s="1019"/>
      <c r="M23" s="1019"/>
      <c r="N23" s="1019"/>
      <c r="O23" s="1019">
        <f>SUM(M23+N23)</f>
        <v>0</v>
      </c>
      <c r="P23" s="1019"/>
      <c r="Q23" s="1019"/>
      <c r="R23" s="1019"/>
      <c r="S23" s="1019"/>
      <c r="T23" s="1019">
        <f>SUM(R23+S23)</f>
        <v>0</v>
      </c>
      <c r="U23" s="1019"/>
      <c r="V23" s="1019"/>
      <c r="W23" s="1019"/>
      <c r="X23" s="1019"/>
      <c r="Y23" s="1019">
        <f>SUM(W23+X23)</f>
        <v>0</v>
      </c>
      <c r="Z23" s="1019"/>
      <c r="AA23" s="1019"/>
      <c r="AB23" s="1019"/>
      <c r="AC23" s="1019"/>
      <c r="AD23" s="1019">
        <f>SUM(AB23+AC23)</f>
        <v>0</v>
      </c>
      <c r="AE23" s="1019"/>
      <c r="AF23" s="1019"/>
      <c r="AG23" s="1019"/>
      <c r="AH23" s="1019"/>
      <c r="AI23" s="1019">
        <f>SUM(AG23+AH23)</f>
        <v>0</v>
      </c>
      <c r="AJ23" s="1019"/>
      <c r="AK23" s="1019"/>
      <c r="AL23" s="1019"/>
      <c r="AM23" s="1019"/>
      <c r="AN23" s="1019">
        <f t="shared" ref="AN23:AN34" si="6">SUM(AL23+AM23)</f>
        <v>0</v>
      </c>
      <c r="AO23" s="1019">
        <f t="shared" ref="AO23:AO34" si="7">AL23-AK23</f>
        <v>0</v>
      </c>
      <c r="AP23" s="1019"/>
      <c r="AQ23" s="1019"/>
      <c r="AR23" s="1019"/>
      <c r="AS23" s="1019">
        <f t="shared" ref="AS23:AS34" si="8">SUM(AQ23+AR23)</f>
        <v>0</v>
      </c>
      <c r="AT23" s="1019">
        <f t="shared" ref="AT23:AT34" si="9">AQ23-AP23</f>
        <v>0</v>
      </c>
      <c r="AU23" s="1019"/>
      <c r="AV23" s="1019"/>
      <c r="AW23" s="1019"/>
      <c r="AX23" s="1019">
        <f t="shared" ref="AX23:AX34" si="10">SUM(AV23+AW23)</f>
        <v>0</v>
      </c>
      <c r="AY23" s="1019">
        <f t="shared" ref="AY23:AY34" si="11">AV23-AU23</f>
        <v>0</v>
      </c>
      <c r="AZ23" s="1019"/>
      <c r="BA23" s="1094"/>
      <c r="BB23" s="1019"/>
      <c r="BC23" s="1019">
        <f t="shared" ref="BC23:BC34" si="12">SUM(BA23+BB23)</f>
        <v>0</v>
      </c>
      <c r="BD23" s="1019">
        <f t="shared" ref="BD23:BD34" si="13">BA23-AZ23</f>
        <v>0</v>
      </c>
      <c r="BE23" s="1019"/>
      <c r="BF23" s="1094"/>
      <c r="BG23" s="1019"/>
      <c r="BH23" s="1019">
        <f t="shared" ref="BH23:BH34" si="14">SUM(BF23+BG23)</f>
        <v>0</v>
      </c>
      <c r="BI23" s="1019">
        <f t="shared" ref="BI23:BI34" si="15">BF23-BE23</f>
        <v>0</v>
      </c>
      <c r="BJ23" s="1007">
        <f t="shared" ref="BJ23:BJ34" si="16">SUM(B23+G23+L23+Q23+V23+AA23+AF23+AK23+AP23+AU23+AZ23+BE23)</f>
        <v>0</v>
      </c>
      <c r="BK23" s="1007">
        <f t="shared" ref="BK23:BK34" si="17">SUM(C23+H23+M23+R23+W23+AB23+AG23+AL23+AQ23+AV23+BA23+BF23)</f>
        <v>0</v>
      </c>
      <c r="BL23" s="1007">
        <f t="shared" ref="BL23:BL34" si="18">SUM(D23+I23+N23+S23+X23+AC23+AH23+AM23+AR23+AW23+BB23+BG23)</f>
        <v>0</v>
      </c>
      <c r="BM23" s="1013">
        <f t="shared" si="4"/>
        <v>0</v>
      </c>
      <c r="BN23" s="1013">
        <f t="shared" si="5"/>
        <v>0</v>
      </c>
      <c r="BO23" s="1090">
        <f>BJ23+'4 bba Önkorm '!DM22</f>
        <v>0</v>
      </c>
      <c r="BP23" s="1090">
        <f>BK23+'4 bba Önkorm '!DN22</f>
        <v>0</v>
      </c>
      <c r="BQ23" s="1090">
        <f>BL23+'4 bba Önkorm '!DO22</f>
        <v>0</v>
      </c>
      <c r="BR23" s="1090">
        <f>BM23+'4 bba Önkorm '!DP22</f>
        <v>0</v>
      </c>
      <c r="BS23" s="1090">
        <f>BN23+'4 bba Önkorm '!DQ22</f>
        <v>0</v>
      </c>
    </row>
    <row r="24" spans="1:71" ht="15" hidden="1" customHeight="1">
      <c r="A24" s="1092" t="s">
        <v>706</v>
      </c>
      <c r="B24" s="404"/>
      <c r="C24" s="1019"/>
      <c r="D24" s="1019"/>
      <c r="E24" s="1019">
        <f>SUM(C24+D24)</f>
        <v>0</v>
      </c>
      <c r="F24" s="1019"/>
      <c r="G24" s="1019"/>
      <c r="H24" s="1019"/>
      <c r="I24" s="1019"/>
      <c r="J24" s="1019">
        <f>SUM(H24+I24)</f>
        <v>0</v>
      </c>
      <c r="K24" s="1019"/>
      <c r="L24" s="1019"/>
      <c r="M24" s="1019"/>
      <c r="N24" s="1019"/>
      <c r="O24" s="1019">
        <f>SUM(M24+N24)</f>
        <v>0</v>
      </c>
      <c r="P24" s="1019"/>
      <c r="Q24" s="1019"/>
      <c r="R24" s="1019"/>
      <c r="S24" s="1019"/>
      <c r="T24" s="1019">
        <f>SUM(R24+S24)</f>
        <v>0</v>
      </c>
      <c r="U24" s="1019"/>
      <c r="V24" s="1019"/>
      <c r="W24" s="1019"/>
      <c r="X24" s="1019"/>
      <c r="Y24" s="1019">
        <f>SUM(W24+X24)</f>
        <v>0</v>
      </c>
      <c r="Z24" s="1019"/>
      <c r="AA24" s="1019"/>
      <c r="AB24" s="1019"/>
      <c r="AC24" s="1019"/>
      <c r="AD24" s="1019">
        <f>SUM(AB24+AC24)</f>
        <v>0</v>
      </c>
      <c r="AE24" s="1019"/>
      <c r="AF24" s="1019"/>
      <c r="AG24" s="1019"/>
      <c r="AH24" s="1019"/>
      <c r="AI24" s="1019">
        <f>SUM(AG24+AH24)</f>
        <v>0</v>
      </c>
      <c r="AJ24" s="1019"/>
      <c r="AK24" s="1019"/>
      <c r="AL24" s="1019"/>
      <c r="AM24" s="1019"/>
      <c r="AN24" s="1019">
        <f t="shared" si="6"/>
        <v>0</v>
      </c>
      <c r="AO24" s="1019">
        <f t="shared" si="7"/>
        <v>0</v>
      </c>
      <c r="AP24" s="1019"/>
      <c r="AQ24" s="1019"/>
      <c r="AR24" s="1019"/>
      <c r="AS24" s="1019">
        <f t="shared" si="8"/>
        <v>0</v>
      </c>
      <c r="AT24" s="1019">
        <f t="shared" si="9"/>
        <v>0</v>
      </c>
      <c r="AU24" s="1019"/>
      <c r="AV24" s="1019"/>
      <c r="AW24" s="1019"/>
      <c r="AX24" s="1019">
        <f t="shared" si="10"/>
        <v>0</v>
      </c>
      <c r="AY24" s="1019">
        <f t="shared" si="11"/>
        <v>0</v>
      </c>
      <c r="AZ24" s="1019"/>
      <c r="BA24" s="1094"/>
      <c r="BB24" s="1019"/>
      <c r="BC24" s="1019">
        <f t="shared" si="12"/>
        <v>0</v>
      </c>
      <c r="BD24" s="1019">
        <f t="shared" si="13"/>
        <v>0</v>
      </c>
      <c r="BE24" s="1019"/>
      <c r="BF24" s="1094"/>
      <c r="BG24" s="1019"/>
      <c r="BH24" s="1019">
        <f t="shared" si="14"/>
        <v>0</v>
      </c>
      <c r="BI24" s="1019">
        <f t="shared" si="15"/>
        <v>0</v>
      </c>
      <c r="BJ24" s="1007">
        <f t="shared" si="16"/>
        <v>0</v>
      </c>
      <c r="BK24" s="1007">
        <f t="shared" si="17"/>
        <v>0</v>
      </c>
      <c r="BL24" s="1007">
        <f t="shared" si="18"/>
        <v>0</v>
      </c>
      <c r="BM24" s="1013">
        <f t="shared" si="4"/>
        <v>0</v>
      </c>
      <c r="BN24" s="1013">
        <f t="shared" si="5"/>
        <v>0</v>
      </c>
      <c r="BO24" s="1090">
        <f>BJ24+'4 bba Önkorm '!DM23</f>
        <v>0</v>
      </c>
      <c r="BP24" s="1090">
        <f>BK24+'4 bba Önkorm '!DN23</f>
        <v>0</v>
      </c>
      <c r="BQ24" s="1090">
        <f>BL24+'4 bba Önkorm '!DO23</f>
        <v>0</v>
      </c>
      <c r="BR24" s="1090">
        <f>BM24+'4 bba Önkorm '!DP23</f>
        <v>0</v>
      </c>
      <c r="BS24" s="1090">
        <f>BN24+'4 bba Önkorm '!DQ23</f>
        <v>0</v>
      </c>
    </row>
    <row r="25" spans="1:71" ht="15" customHeight="1">
      <c r="A25" s="1092" t="s">
        <v>707</v>
      </c>
      <c r="B25" s="1019">
        <v>2867000</v>
      </c>
      <c r="C25" s="1019">
        <v>2867000</v>
      </c>
      <c r="D25" s="1019">
        <v>1125005</v>
      </c>
      <c r="E25" s="1019">
        <v>4137604</v>
      </c>
      <c r="F25" s="1019">
        <v>3094771</v>
      </c>
      <c r="G25" s="1019">
        <v>25935000</v>
      </c>
      <c r="H25" s="1019">
        <f>20213000+7000+1270000+4445000</f>
        <v>25935000</v>
      </c>
      <c r="I25" s="1019">
        <v>-368300</v>
      </c>
      <c r="J25" s="1019">
        <v>49193700</v>
      </c>
      <c r="K25" s="1019">
        <v>25232148</v>
      </c>
      <c r="L25" s="1019">
        <v>99329000</v>
      </c>
      <c r="M25" s="1019">
        <v>102598017</v>
      </c>
      <c r="N25" s="1019">
        <v>3708060</v>
      </c>
      <c r="O25" s="1019">
        <v>120264799</v>
      </c>
      <c r="P25" s="1019">
        <f>1000000+69367730+26072994</f>
        <v>96440724</v>
      </c>
      <c r="Q25" s="1019">
        <v>216417000</v>
      </c>
      <c r="R25" s="1019">
        <v>271179979</v>
      </c>
      <c r="S25" s="1019">
        <v>13046046</v>
      </c>
      <c r="T25" s="1019">
        <v>575231498</v>
      </c>
      <c r="U25" s="1019">
        <v>317757252</v>
      </c>
      <c r="V25" s="1019">
        <v>14668000</v>
      </c>
      <c r="W25" s="1019">
        <v>19240000</v>
      </c>
      <c r="X25" s="1019">
        <v>2558790</v>
      </c>
      <c r="Y25" s="1019">
        <v>21013688</v>
      </c>
      <c r="Z25" s="1019">
        <f>2296211+14222347</f>
        <v>16518558</v>
      </c>
      <c r="AA25" s="1019">
        <v>68625000</v>
      </c>
      <c r="AB25" s="1019">
        <v>67709297</v>
      </c>
      <c r="AC25" s="1019">
        <v>-6348912</v>
      </c>
      <c r="AD25" s="1019">
        <v>57864638</v>
      </c>
      <c r="AE25" s="1019">
        <f>43951392+1350014</f>
        <v>45301406</v>
      </c>
      <c r="AF25" s="1019">
        <v>99004200</v>
      </c>
      <c r="AG25" s="1019">
        <v>128404088</v>
      </c>
      <c r="AH25" s="1019">
        <v>-4135205</v>
      </c>
      <c r="AI25" s="1019">
        <v>107364641</v>
      </c>
      <c r="AJ25" s="1019">
        <v>100392164</v>
      </c>
      <c r="AK25" s="1019"/>
      <c r="AL25" s="1019"/>
      <c r="AM25" s="1019"/>
      <c r="AN25" s="1019">
        <f t="shared" si="6"/>
        <v>0</v>
      </c>
      <c r="AO25" s="1019">
        <f t="shared" si="7"/>
        <v>0</v>
      </c>
      <c r="AP25" s="1019"/>
      <c r="AQ25" s="1019"/>
      <c r="AR25" s="1019"/>
      <c r="AS25" s="1019">
        <f t="shared" si="8"/>
        <v>0</v>
      </c>
      <c r="AT25" s="1019">
        <f t="shared" si="9"/>
        <v>0</v>
      </c>
      <c r="AU25" s="1019"/>
      <c r="AV25" s="1019"/>
      <c r="AW25" s="1019"/>
      <c r="AX25" s="1019">
        <f t="shared" si="10"/>
        <v>0</v>
      </c>
      <c r="AY25" s="1019">
        <f t="shared" si="11"/>
        <v>0</v>
      </c>
      <c r="AZ25" s="1019"/>
      <c r="BA25" s="1094"/>
      <c r="BB25" s="1019"/>
      <c r="BC25" s="1019">
        <f t="shared" si="12"/>
        <v>0</v>
      </c>
      <c r="BD25" s="1019">
        <f t="shared" si="13"/>
        <v>0</v>
      </c>
      <c r="BE25" s="1019"/>
      <c r="BF25" s="1019"/>
      <c r="BG25" s="1019"/>
      <c r="BH25" s="1019">
        <f t="shared" si="14"/>
        <v>0</v>
      </c>
      <c r="BI25" s="1019">
        <f t="shared" si="15"/>
        <v>0</v>
      </c>
      <c r="BJ25" s="1007">
        <f t="shared" si="16"/>
        <v>526845200</v>
      </c>
      <c r="BK25" s="1007">
        <f t="shared" si="17"/>
        <v>617933381</v>
      </c>
      <c r="BL25" s="1007">
        <f t="shared" si="18"/>
        <v>9585484</v>
      </c>
      <c r="BM25" s="1013">
        <f t="shared" si="4"/>
        <v>935070568</v>
      </c>
      <c r="BN25" s="1013">
        <f t="shared" si="5"/>
        <v>604737023</v>
      </c>
      <c r="BO25" s="1090">
        <f>BJ25+'4 bba Önkorm '!DM24</f>
        <v>2272704200</v>
      </c>
      <c r="BP25" s="1090">
        <f>BK25+'4 bba Önkorm '!DN24</f>
        <v>2387062381</v>
      </c>
      <c r="BQ25" s="1090">
        <f>BL25+'4 bba Önkorm '!DO24</f>
        <v>9627150</v>
      </c>
      <c r="BR25" s="1090">
        <f>BM25+'4 bba Önkorm '!DP24</f>
        <v>2772676989</v>
      </c>
      <c r="BS25" s="1090">
        <f>BN25+'4 bba Önkorm '!DQ24</f>
        <v>2195154949</v>
      </c>
    </row>
    <row r="26" spans="1:71" ht="15" customHeight="1">
      <c r="A26" s="405" t="s">
        <v>17</v>
      </c>
      <c r="B26" s="321"/>
      <c r="C26" s="1019"/>
      <c r="D26" s="1019"/>
      <c r="E26" s="1019">
        <f>SUM(C26+D26)</f>
        <v>0</v>
      </c>
      <c r="F26" s="1019"/>
      <c r="G26" s="1019"/>
      <c r="H26" s="1019"/>
      <c r="I26" s="1019"/>
      <c r="J26" s="1019">
        <f t="shared" ref="J26:J34" si="19">SUM(H26+I26)</f>
        <v>0</v>
      </c>
      <c r="K26" s="1019"/>
      <c r="L26" s="1019">
        <v>500000</v>
      </c>
      <c r="M26" s="1019">
        <v>500000</v>
      </c>
      <c r="N26" s="1019"/>
      <c r="O26" s="1019">
        <v>926002</v>
      </c>
      <c r="P26" s="1019">
        <v>926002</v>
      </c>
      <c r="Q26" s="1019"/>
      <c r="R26" s="1019"/>
      <c r="S26" s="1019"/>
      <c r="T26" s="1019">
        <f t="shared" ref="T26:T33" si="20">SUM(R26+S26)</f>
        <v>0</v>
      </c>
      <c r="U26" s="1019"/>
      <c r="V26" s="1019"/>
      <c r="W26" s="1019"/>
      <c r="X26" s="1019"/>
      <c r="Y26" s="1019">
        <f>SUM(W26+X26)</f>
        <v>0</v>
      </c>
      <c r="Z26" s="1019"/>
      <c r="AA26" s="1019">
        <v>334089000</v>
      </c>
      <c r="AB26" s="1019">
        <v>334449000</v>
      </c>
      <c r="AC26" s="1019">
        <v>160000</v>
      </c>
      <c r="AD26" s="1019">
        <v>343247512</v>
      </c>
      <c r="AE26" s="1019">
        <f>235024326+9383500</f>
        <v>244407826</v>
      </c>
      <c r="AF26" s="1019"/>
      <c r="AG26" s="1019"/>
      <c r="AH26" s="1019"/>
      <c r="AI26" s="1019">
        <f>SUM(AG26+AH26)</f>
        <v>0</v>
      </c>
      <c r="AJ26" s="1019"/>
      <c r="AK26" s="1019"/>
      <c r="AL26" s="1019"/>
      <c r="AM26" s="1019"/>
      <c r="AN26" s="1019">
        <f t="shared" si="6"/>
        <v>0</v>
      </c>
      <c r="AO26" s="1019">
        <f t="shared" si="7"/>
        <v>0</v>
      </c>
      <c r="AP26" s="1019"/>
      <c r="AQ26" s="1019"/>
      <c r="AR26" s="1019"/>
      <c r="AS26" s="1019">
        <f t="shared" si="8"/>
        <v>0</v>
      </c>
      <c r="AT26" s="1019">
        <f t="shared" si="9"/>
        <v>0</v>
      </c>
      <c r="AU26" s="1019"/>
      <c r="AV26" s="1019"/>
      <c r="AW26" s="1019"/>
      <c r="AX26" s="1019">
        <f t="shared" si="10"/>
        <v>0</v>
      </c>
      <c r="AY26" s="1019">
        <f t="shared" si="11"/>
        <v>0</v>
      </c>
      <c r="AZ26" s="1019"/>
      <c r="BA26" s="1094"/>
      <c r="BB26" s="1019"/>
      <c r="BC26" s="1019">
        <f t="shared" si="12"/>
        <v>0</v>
      </c>
      <c r="BD26" s="1019">
        <f t="shared" si="13"/>
        <v>0</v>
      </c>
      <c r="BE26" s="1019"/>
      <c r="BF26" s="1094"/>
      <c r="BG26" s="1019"/>
      <c r="BH26" s="1019">
        <f t="shared" si="14"/>
        <v>0</v>
      </c>
      <c r="BI26" s="1019">
        <f t="shared" si="15"/>
        <v>0</v>
      </c>
      <c r="BJ26" s="1007">
        <f t="shared" si="16"/>
        <v>334589000</v>
      </c>
      <c r="BK26" s="1007">
        <f t="shared" si="17"/>
        <v>334949000</v>
      </c>
      <c r="BL26" s="1007">
        <f t="shared" si="18"/>
        <v>160000</v>
      </c>
      <c r="BM26" s="1013">
        <f t="shared" si="4"/>
        <v>344173514</v>
      </c>
      <c r="BN26" s="1013">
        <f t="shared" si="5"/>
        <v>245333828</v>
      </c>
      <c r="BO26" s="1090">
        <f>BJ26+'4 bba Önkorm '!DM25</f>
        <v>334589000</v>
      </c>
      <c r="BP26" s="1090">
        <f>BK26+'4 bba Önkorm '!DN25</f>
        <v>334949000</v>
      </c>
      <c r="BQ26" s="1090">
        <f>BL26+'4 bba Önkorm '!DO25</f>
        <v>160000</v>
      </c>
      <c r="BR26" s="1090">
        <f>BM26+'4 bba Önkorm '!DP25</f>
        <v>344173514</v>
      </c>
      <c r="BS26" s="1090">
        <f>BN26+'4 bba Önkorm '!DQ25</f>
        <v>245333828</v>
      </c>
    </row>
    <row r="27" spans="1:71" ht="15" hidden="1" customHeight="1">
      <c r="A27" s="405" t="s">
        <v>19</v>
      </c>
      <c r="B27" s="321"/>
      <c r="C27" s="1019"/>
      <c r="D27" s="1019"/>
      <c r="E27" s="1019">
        <f>SUM(C27+D27)</f>
        <v>0</v>
      </c>
      <c r="F27" s="1019"/>
      <c r="G27" s="1019"/>
      <c r="H27" s="1019"/>
      <c r="I27" s="1019"/>
      <c r="J27" s="1019">
        <f t="shared" si="19"/>
        <v>0</v>
      </c>
      <c r="K27" s="1019"/>
      <c r="L27" s="1019"/>
      <c r="M27" s="1019"/>
      <c r="N27" s="1019"/>
      <c r="O27" s="1019">
        <f>SUM(M27+N27)</f>
        <v>0</v>
      </c>
      <c r="P27" s="1019"/>
      <c r="Q27" s="1019"/>
      <c r="R27" s="1019"/>
      <c r="S27" s="1019"/>
      <c r="T27" s="1019">
        <f t="shared" si="20"/>
        <v>0</v>
      </c>
      <c r="U27" s="1019"/>
      <c r="V27" s="1019"/>
      <c r="W27" s="1019"/>
      <c r="X27" s="1019"/>
      <c r="Y27" s="1019">
        <f>SUM(W27+X27)</f>
        <v>0</v>
      </c>
      <c r="Z27" s="1019"/>
      <c r="AA27" s="1019"/>
      <c r="AB27" s="1019"/>
      <c r="AC27" s="1019"/>
      <c r="AD27" s="1019">
        <f>SUM(AB27+AC27)</f>
        <v>0</v>
      </c>
      <c r="AE27" s="1019"/>
      <c r="AF27" s="1019"/>
      <c r="AG27" s="1019"/>
      <c r="AH27" s="1019"/>
      <c r="AI27" s="1019">
        <f>SUM(AG27+AH27)</f>
        <v>0</v>
      </c>
      <c r="AJ27" s="1019"/>
      <c r="AK27" s="1019"/>
      <c r="AL27" s="1019"/>
      <c r="AM27" s="1019"/>
      <c r="AN27" s="1019">
        <f t="shared" si="6"/>
        <v>0</v>
      </c>
      <c r="AO27" s="1019">
        <f t="shared" si="7"/>
        <v>0</v>
      </c>
      <c r="AP27" s="1019"/>
      <c r="AQ27" s="1019"/>
      <c r="AR27" s="1019"/>
      <c r="AS27" s="1019">
        <f t="shared" si="8"/>
        <v>0</v>
      </c>
      <c r="AT27" s="1019">
        <f t="shared" si="9"/>
        <v>0</v>
      </c>
      <c r="AU27" s="1019"/>
      <c r="AV27" s="1019"/>
      <c r="AW27" s="1019"/>
      <c r="AX27" s="1019">
        <f t="shared" si="10"/>
        <v>0</v>
      </c>
      <c r="AY27" s="1019">
        <f t="shared" si="11"/>
        <v>0</v>
      </c>
      <c r="AZ27" s="1019"/>
      <c r="BA27" s="1094"/>
      <c r="BB27" s="1019"/>
      <c r="BC27" s="1019">
        <f t="shared" si="12"/>
        <v>0</v>
      </c>
      <c r="BD27" s="1019">
        <f t="shared" si="13"/>
        <v>0</v>
      </c>
      <c r="BE27" s="1019"/>
      <c r="BF27" s="1094"/>
      <c r="BG27" s="1019"/>
      <c r="BH27" s="1019">
        <f t="shared" si="14"/>
        <v>0</v>
      </c>
      <c r="BI27" s="1019">
        <f t="shared" si="15"/>
        <v>0</v>
      </c>
      <c r="BJ27" s="1007">
        <f t="shared" si="16"/>
        <v>0</v>
      </c>
      <c r="BK27" s="1007">
        <f t="shared" si="17"/>
        <v>0</v>
      </c>
      <c r="BL27" s="1007">
        <f t="shared" si="18"/>
        <v>0</v>
      </c>
      <c r="BM27" s="1013">
        <f t="shared" si="4"/>
        <v>0</v>
      </c>
      <c r="BN27" s="1013">
        <f t="shared" si="5"/>
        <v>0</v>
      </c>
      <c r="BO27" s="1090">
        <f>BJ27+'4 bba Önkorm '!DM26</f>
        <v>0</v>
      </c>
      <c r="BP27" s="1090">
        <f>BK27+'4 bba Önkorm '!DN26</f>
        <v>0</v>
      </c>
      <c r="BQ27" s="1090">
        <f>BL27+'4 bba Önkorm '!DO26</f>
        <v>0</v>
      </c>
      <c r="BR27" s="1090">
        <f>BM27+'4 bba Önkorm '!DP26</f>
        <v>0</v>
      </c>
      <c r="BS27" s="1090">
        <f>BN27+'4 bba Önkorm '!DQ26</f>
        <v>0</v>
      </c>
    </row>
    <row r="28" spans="1:71" ht="15" customHeight="1">
      <c r="A28" s="405" t="s">
        <v>708</v>
      </c>
      <c r="B28" s="321"/>
      <c r="C28" s="1019"/>
      <c r="D28" s="1019"/>
      <c r="E28" s="1019"/>
      <c r="F28" s="1019"/>
      <c r="G28" s="1019"/>
      <c r="H28" s="1019"/>
      <c r="I28" s="1019"/>
      <c r="J28" s="1019">
        <f t="shared" si="19"/>
        <v>0</v>
      </c>
      <c r="K28" s="1019"/>
      <c r="L28" s="1019"/>
      <c r="M28" s="1019"/>
      <c r="N28" s="1019"/>
      <c r="O28" s="1019">
        <f>SUM(M28+N28)</f>
        <v>0</v>
      </c>
      <c r="P28" s="1019"/>
      <c r="Q28" s="1019"/>
      <c r="R28" s="1019"/>
      <c r="S28" s="1019"/>
      <c r="T28" s="1019">
        <f t="shared" si="20"/>
        <v>0</v>
      </c>
      <c r="U28" s="1019"/>
      <c r="V28" s="1019"/>
      <c r="W28" s="1019"/>
      <c r="X28" s="1019"/>
      <c r="Y28" s="1019">
        <f>SUM(W28+X28)</f>
        <v>0</v>
      </c>
      <c r="Z28" s="1019"/>
      <c r="AA28" s="1019"/>
      <c r="AB28" s="1019"/>
      <c r="AC28" s="1019"/>
      <c r="AD28" s="1019">
        <f>SUM(AB28+AC28)</f>
        <v>0</v>
      </c>
      <c r="AE28" s="1019"/>
      <c r="AF28" s="1019"/>
      <c r="AG28" s="1019"/>
      <c r="AH28" s="1019"/>
      <c r="AI28" s="1019">
        <v>45682781</v>
      </c>
      <c r="AJ28" s="1019"/>
      <c r="AK28" s="1019"/>
      <c r="AL28" s="1019"/>
      <c r="AM28" s="1019"/>
      <c r="AN28" s="1019">
        <f t="shared" si="6"/>
        <v>0</v>
      </c>
      <c r="AO28" s="1019">
        <f t="shared" si="7"/>
        <v>0</v>
      </c>
      <c r="AP28" s="1019"/>
      <c r="AQ28" s="1019"/>
      <c r="AR28" s="1019"/>
      <c r="AS28" s="1019">
        <f t="shared" si="8"/>
        <v>0</v>
      </c>
      <c r="AT28" s="1019">
        <f t="shared" si="9"/>
        <v>0</v>
      </c>
      <c r="AU28" s="1019"/>
      <c r="AV28" s="1019"/>
      <c r="AW28" s="1019"/>
      <c r="AX28" s="1019">
        <f t="shared" si="10"/>
        <v>0</v>
      </c>
      <c r="AY28" s="1019">
        <f t="shared" si="11"/>
        <v>0</v>
      </c>
      <c r="AZ28" s="1019"/>
      <c r="BA28" s="1094"/>
      <c r="BB28" s="1019"/>
      <c r="BC28" s="1019">
        <f t="shared" si="12"/>
        <v>0</v>
      </c>
      <c r="BD28" s="1019">
        <f t="shared" si="13"/>
        <v>0</v>
      </c>
      <c r="BE28" s="1019"/>
      <c r="BF28" s="1094"/>
      <c r="BG28" s="1019"/>
      <c r="BH28" s="1019">
        <f t="shared" si="14"/>
        <v>0</v>
      </c>
      <c r="BI28" s="1019">
        <f t="shared" si="15"/>
        <v>0</v>
      </c>
      <c r="BJ28" s="1007">
        <f t="shared" si="16"/>
        <v>0</v>
      </c>
      <c r="BK28" s="1007">
        <f t="shared" si="17"/>
        <v>0</v>
      </c>
      <c r="BL28" s="1007">
        <f t="shared" si="18"/>
        <v>0</v>
      </c>
      <c r="BM28" s="1013">
        <f t="shared" si="4"/>
        <v>45682781</v>
      </c>
      <c r="BN28" s="1013">
        <f t="shared" si="5"/>
        <v>0</v>
      </c>
      <c r="BO28" s="1090">
        <f>BJ28+'4 bba Önkorm '!DM27</f>
        <v>0</v>
      </c>
      <c r="BP28" s="1090">
        <f>BK28+'4 bba Önkorm '!DN27</f>
        <v>0</v>
      </c>
      <c r="BQ28" s="1090">
        <f>BL28+'4 bba Önkorm '!DO27</f>
        <v>0</v>
      </c>
      <c r="BR28" s="1090">
        <f>BM28+'4 bba Önkorm '!DP27</f>
        <v>45682781</v>
      </c>
      <c r="BS28" s="1090">
        <f>BN28+'4 bba Önkorm '!DQ27</f>
        <v>0</v>
      </c>
    </row>
    <row r="29" spans="1:71" ht="15" customHeight="1">
      <c r="A29" s="405" t="s">
        <v>709</v>
      </c>
      <c r="B29" s="321"/>
      <c r="C29" s="1019"/>
      <c r="D29" s="1019"/>
      <c r="E29" s="1019">
        <f t="shared" ref="E29:E34" si="21">SUM(C29+D29)</f>
        <v>0</v>
      </c>
      <c r="F29" s="1019"/>
      <c r="G29" s="1019"/>
      <c r="H29" s="1019"/>
      <c r="I29" s="1019"/>
      <c r="J29" s="1019">
        <f t="shared" si="19"/>
        <v>0</v>
      </c>
      <c r="K29" s="1019"/>
      <c r="L29" s="1019">
        <v>4000000</v>
      </c>
      <c r="M29" s="1019">
        <v>4000000</v>
      </c>
      <c r="N29" s="1019"/>
      <c r="O29" s="1019">
        <f>SUM(M29+N29)</f>
        <v>4000000</v>
      </c>
      <c r="P29" s="1019">
        <v>3200000</v>
      </c>
      <c r="Q29" s="1019"/>
      <c r="R29" s="1019"/>
      <c r="S29" s="1019"/>
      <c r="T29" s="1019">
        <f t="shared" si="20"/>
        <v>0</v>
      </c>
      <c r="U29" s="1019"/>
      <c r="V29" s="1019">
        <v>29844000</v>
      </c>
      <c r="W29" s="1019">
        <v>38244000</v>
      </c>
      <c r="X29" s="1019">
        <v>-2558790</v>
      </c>
      <c r="Y29" s="1019">
        <v>36104072</v>
      </c>
      <c r="Z29" s="1019">
        <v>34219886</v>
      </c>
      <c r="AA29" s="1019">
        <v>1000000</v>
      </c>
      <c r="AB29" s="1019">
        <v>1000000</v>
      </c>
      <c r="AC29" s="1019"/>
      <c r="AD29" s="1019">
        <v>1200000</v>
      </c>
      <c r="AE29" s="1019">
        <v>1200000</v>
      </c>
      <c r="AF29" s="1019"/>
      <c r="AG29" s="1019"/>
      <c r="AH29" s="1019"/>
      <c r="AI29" s="1019">
        <f>SUM(AG29+AH29)</f>
        <v>0</v>
      </c>
      <c r="AJ29" s="1662">
        <v>840145</v>
      </c>
      <c r="AK29" s="1019"/>
      <c r="AL29" s="1019"/>
      <c r="AM29" s="1019"/>
      <c r="AN29" s="1019">
        <f t="shared" si="6"/>
        <v>0</v>
      </c>
      <c r="AO29" s="1019">
        <f t="shared" si="7"/>
        <v>0</v>
      </c>
      <c r="AP29" s="1019"/>
      <c r="AQ29" s="1019"/>
      <c r="AR29" s="1019"/>
      <c r="AS29" s="1019">
        <f t="shared" si="8"/>
        <v>0</v>
      </c>
      <c r="AT29" s="1019">
        <f t="shared" si="9"/>
        <v>0</v>
      </c>
      <c r="AU29" s="1019"/>
      <c r="AV29" s="1019"/>
      <c r="AW29" s="1019"/>
      <c r="AX29" s="1019">
        <f t="shared" si="10"/>
        <v>0</v>
      </c>
      <c r="AY29" s="1019">
        <f t="shared" si="11"/>
        <v>0</v>
      </c>
      <c r="AZ29" s="1019"/>
      <c r="BA29" s="1094"/>
      <c r="BB29" s="1019"/>
      <c r="BC29" s="1019">
        <f t="shared" si="12"/>
        <v>0</v>
      </c>
      <c r="BD29" s="1019">
        <f t="shared" si="13"/>
        <v>0</v>
      </c>
      <c r="BE29" s="1019"/>
      <c r="BF29" s="1094"/>
      <c r="BG29" s="1019"/>
      <c r="BH29" s="1019">
        <f t="shared" si="14"/>
        <v>0</v>
      </c>
      <c r="BI29" s="1019">
        <f t="shared" si="15"/>
        <v>0</v>
      </c>
      <c r="BJ29" s="1007">
        <f t="shared" si="16"/>
        <v>34844000</v>
      </c>
      <c r="BK29" s="1007">
        <f t="shared" si="17"/>
        <v>43244000</v>
      </c>
      <c r="BL29" s="1007">
        <f t="shared" si="18"/>
        <v>-2558790</v>
      </c>
      <c r="BM29" s="1013">
        <f t="shared" si="4"/>
        <v>41304072</v>
      </c>
      <c r="BN29" s="1013">
        <f>SUM(F29+K29+P29+U29+Z29+AE29+AJ29+AO29+AT29+AY29+BD29+BI29)</f>
        <v>39460031</v>
      </c>
      <c r="BO29" s="1090">
        <f>BJ29+'4 bba Önkorm '!DM28</f>
        <v>34844000</v>
      </c>
      <c r="BP29" s="1090">
        <f>BK29+'4 bba Önkorm '!DN28</f>
        <v>43244000</v>
      </c>
      <c r="BQ29" s="1090">
        <f>BL29+'4 bba Önkorm '!DO28</f>
        <v>-2558790</v>
      </c>
      <c r="BR29" s="1090">
        <f>BM29+'4 bba Önkorm '!DP28</f>
        <v>41304072</v>
      </c>
      <c r="BS29" s="1090">
        <f>BN29+'4 bba Önkorm '!DQ28</f>
        <v>39460031</v>
      </c>
    </row>
    <row r="30" spans="1:71" ht="15" hidden="1" customHeight="1">
      <c r="A30" s="405" t="s">
        <v>710</v>
      </c>
      <c r="B30" s="321"/>
      <c r="C30" s="1019"/>
      <c r="D30" s="1019"/>
      <c r="E30" s="1019">
        <f t="shared" si="21"/>
        <v>0</v>
      </c>
      <c r="F30" s="1019"/>
      <c r="G30" s="1019"/>
      <c r="H30" s="1019"/>
      <c r="I30" s="1019"/>
      <c r="J30" s="1019">
        <f t="shared" si="19"/>
        <v>0</v>
      </c>
      <c r="K30" s="1019"/>
      <c r="L30" s="1019"/>
      <c r="M30" s="1019"/>
      <c r="N30" s="1019"/>
      <c r="O30" s="1019">
        <f>SUM(M30+N30)</f>
        <v>0</v>
      </c>
      <c r="P30" s="1019"/>
      <c r="Q30" s="1019"/>
      <c r="R30" s="1019"/>
      <c r="S30" s="1019"/>
      <c r="T30" s="1019">
        <f t="shared" si="20"/>
        <v>0</v>
      </c>
      <c r="U30" s="1019"/>
      <c r="V30" s="1019"/>
      <c r="W30" s="1019"/>
      <c r="X30" s="1019"/>
      <c r="Y30" s="1019">
        <f>SUM(W30+X30)</f>
        <v>0</v>
      </c>
      <c r="Z30" s="1019"/>
      <c r="AA30" s="1019"/>
      <c r="AB30" s="1019"/>
      <c r="AC30" s="1019"/>
      <c r="AD30" s="1019">
        <f>SUM(AB30+AC30)</f>
        <v>0</v>
      </c>
      <c r="AE30" s="1019"/>
      <c r="AF30" s="1019"/>
      <c r="AG30" s="1019"/>
      <c r="AH30" s="1019"/>
      <c r="AI30" s="1019">
        <f>SUM(AG30+AH30)</f>
        <v>0</v>
      </c>
      <c r="AJ30" s="1662"/>
      <c r="AK30" s="1019"/>
      <c r="AL30" s="1019"/>
      <c r="AM30" s="1019"/>
      <c r="AN30" s="1019">
        <f t="shared" si="6"/>
        <v>0</v>
      </c>
      <c r="AO30" s="1019">
        <f t="shared" si="7"/>
        <v>0</v>
      </c>
      <c r="AP30" s="1019"/>
      <c r="AQ30" s="1019"/>
      <c r="AR30" s="1019"/>
      <c r="AS30" s="1019">
        <f t="shared" si="8"/>
        <v>0</v>
      </c>
      <c r="AT30" s="1019">
        <f t="shared" si="9"/>
        <v>0</v>
      </c>
      <c r="AU30" s="1019"/>
      <c r="AV30" s="1019"/>
      <c r="AW30" s="1019"/>
      <c r="AX30" s="1019">
        <f t="shared" si="10"/>
        <v>0</v>
      </c>
      <c r="AY30" s="1019">
        <f t="shared" si="11"/>
        <v>0</v>
      </c>
      <c r="AZ30" s="1019"/>
      <c r="BA30" s="1094"/>
      <c r="BB30" s="1019"/>
      <c r="BC30" s="1019">
        <f t="shared" si="12"/>
        <v>0</v>
      </c>
      <c r="BD30" s="1019">
        <f t="shared" si="13"/>
        <v>0</v>
      </c>
      <c r="BE30" s="1019"/>
      <c r="BF30" s="1094"/>
      <c r="BG30" s="1019"/>
      <c r="BH30" s="1019">
        <f t="shared" si="14"/>
        <v>0</v>
      </c>
      <c r="BI30" s="1019">
        <f t="shared" si="15"/>
        <v>0</v>
      </c>
      <c r="BJ30" s="1007">
        <f t="shared" si="16"/>
        <v>0</v>
      </c>
      <c r="BK30" s="1007">
        <f t="shared" si="17"/>
        <v>0</v>
      </c>
      <c r="BL30" s="1007">
        <f t="shared" si="18"/>
        <v>0</v>
      </c>
      <c r="BM30" s="1013">
        <f t="shared" si="4"/>
        <v>0</v>
      </c>
      <c r="BN30" s="1013">
        <f>SUM(F30+K30+P30+U30+Z30+AE30+AJ30+AO30+AT30+AY30+BD30+BI30)</f>
        <v>0</v>
      </c>
      <c r="BO30" s="1090">
        <f>BJ30+'4 bba Önkorm '!DM29</f>
        <v>0</v>
      </c>
      <c r="BP30" s="1090">
        <f>BK30+'4 bba Önkorm '!DN29</f>
        <v>0</v>
      </c>
      <c r="BQ30" s="1090">
        <f>BL30+'4 bba Önkorm '!DO29</f>
        <v>0</v>
      </c>
      <c r="BR30" s="1090">
        <f>BM30+'4 bba Önkorm '!DP29</f>
        <v>0</v>
      </c>
      <c r="BS30" s="1090">
        <f>BN30+'4 bba Önkorm '!DQ29</f>
        <v>0</v>
      </c>
    </row>
    <row r="31" spans="1:71" ht="15" customHeight="1">
      <c r="A31" s="405" t="s">
        <v>711</v>
      </c>
      <c r="B31" s="321"/>
      <c r="C31" s="1019"/>
      <c r="D31" s="1019"/>
      <c r="E31" s="1019">
        <f t="shared" si="21"/>
        <v>0</v>
      </c>
      <c r="F31" s="1019"/>
      <c r="G31" s="1019"/>
      <c r="H31" s="1019"/>
      <c r="I31" s="1019"/>
      <c r="J31" s="1019">
        <f t="shared" si="19"/>
        <v>0</v>
      </c>
      <c r="K31" s="1019"/>
      <c r="L31" s="1019">
        <v>5790000</v>
      </c>
      <c r="M31" s="1019">
        <v>10000000</v>
      </c>
      <c r="N31" s="1019">
        <f>17730000-1200000</f>
        <v>16530000</v>
      </c>
      <c r="O31" s="1019">
        <v>30947000</v>
      </c>
      <c r="P31" s="1019">
        <v>30713984</v>
      </c>
      <c r="Q31" s="1019"/>
      <c r="R31" s="1019"/>
      <c r="S31" s="1019"/>
      <c r="T31" s="1019">
        <f t="shared" si="20"/>
        <v>0</v>
      </c>
      <c r="U31" s="1019"/>
      <c r="V31" s="1019">
        <v>2500000</v>
      </c>
      <c r="W31" s="1019">
        <v>2500000</v>
      </c>
      <c r="X31" s="1019"/>
      <c r="Y31" s="1019">
        <v>7200000</v>
      </c>
      <c r="Z31" s="1019">
        <f>800000+4700000</f>
        <v>5500000</v>
      </c>
      <c r="AA31" s="1019">
        <v>185244000</v>
      </c>
      <c r="AB31" s="1019">
        <v>185269000</v>
      </c>
      <c r="AC31" s="943">
        <v>12436100</v>
      </c>
      <c r="AD31" s="1019">
        <v>198955100</v>
      </c>
      <c r="AE31" s="1019">
        <f>18000000+180327043</f>
        <v>198327043</v>
      </c>
      <c r="AF31" s="1019"/>
      <c r="AG31" s="1019"/>
      <c r="AH31" s="1019"/>
      <c r="AI31" s="1019">
        <f>SUM(AG31+AH31)</f>
        <v>0</v>
      </c>
      <c r="AJ31" s="1662">
        <v>-840145</v>
      </c>
      <c r="AK31" s="1019"/>
      <c r="AL31" s="1019"/>
      <c r="AM31" s="1019"/>
      <c r="AN31" s="1019">
        <f t="shared" si="6"/>
        <v>0</v>
      </c>
      <c r="AO31" s="1019">
        <f t="shared" si="7"/>
        <v>0</v>
      </c>
      <c r="AP31" s="1019"/>
      <c r="AQ31" s="1019"/>
      <c r="AR31" s="1019"/>
      <c r="AS31" s="1019">
        <f t="shared" si="8"/>
        <v>0</v>
      </c>
      <c r="AT31" s="1019">
        <f t="shared" si="9"/>
        <v>0</v>
      </c>
      <c r="AU31" s="1019"/>
      <c r="AV31" s="1019"/>
      <c r="AW31" s="1019"/>
      <c r="AX31" s="1019">
        <f t="shared" si="10"/>
        <v>0</v>
      </c>
      <c r="AY31" s="1019">
        <f t="shared" si="11"/>
        <v>0</v>
      </c>
      <c r="AZ31" s="1019"/>
      <c r="BA31" s="1094"/>
      <c r="BB31" s="1019"/>
      <c r="BC31" s="1019">
        <f t="shared" si="12"/>
        <v>0</v>
      </c>
      <c r="BD31" s="1019">
        <f t="shared" si="13"/>
        <v>0</v>
      </c>
      <c r="BE31" s="1019"/>
      <c r="BF31" s="1094"/>
      <c r="BG31" s="1019"/>
      <c r="BH31" s="1019">
        <f t="shared" si="14"/>
        <v>0</v>
      </c>
      <c r="BI31" s="1019">
        <f t="shared" si="15"/>
        <v>0</v>
      </c>
      <c r="BJ31" s="1007">
        <f t="shared" si="16"/>
        <v>193534000</v>
      </c>
      <c r="BK31" s="1007">
        <f t="shared" si="17"/>
        <v>197769000</v>
      </c>
      <c r="BL31" s="1007">
        <f t="shared" si="18"/>
        <v>28966100</v>
      </c>
      <c r="BM31" s="1013">
        <f t="shared" si="4"/>
        <v>237102100</v>
      </c>
      <c r="BN31" s="1013">
        <f>SUM(F31+K31+P31+U31+Z31+AE31+AJ31+AO31+AT31+AY31+BD31+BI31)</f>
        <v>233700882</v>
      </c>
      <c r="BO31" s="1090">
        <f>BJ31+'4 bba Önkorm '!DM30</f>
        <v>224434000</v>
      </c>
      <c r="BP31" s="1090">
        <f>BK31+'4 bba Önkorm '!DN30</f>
        <v>248372848</v>
      </c>
      <c r="BQ31" s="1090">
        <f>BL31+'4 bba Önkorm '!DO30</f>
        <v>30383756</v>
      </c>
      <c r="BR31" s="1090">
        <f>BM31+'4 bba Önkorm '!DP30</f>
        <v>287746555</v>
      </c>
      <c r="BS31" s="1090">
        <f>BN31+'4 bba Önkorm '!DQ30</f>
        <v>284344337</v>
      </c>
    </row>
    <row r="32" spans="1:71" ht="15" customHeight="1">
      <c r="A32" s="405" t="s">
        <v>712</v>
      </c>
      <c r="B32" s="321"/>
      <c r="C32" s="1019"/>
      <c r="D32" s="1019"/>
      <c r="E32" s="1019">
        <f t="shared" si="21"/>
        <v>0</v>
      </c>
      <c r="F32" s="1019"/>
      <c r="G32" s="1019"/>
      <c r="H32" s="1019"/>
      <c r="I32" s="1019"/>
      <c r="J32" s="1019">
        <f t="shared" si="19"/>
        <v>0</v>
      </c>
      <c r="K32" s="1019"/>
      <c r="L32" s="1019"/>
      <c r="M32" s="1019"/>
      <c r="N32" s="1019"/>
      <c r="O32" s="1019">
        <f>SUM(M32+N32)</f>
        <v>0</v>
      </c>
      <c r="P32" s="1019"/>
      <c r="Q32" s="1019"/>
      <c r="R32" s="1019"/>
      <c r="S32" s="1019"/>
      <c r="T32" s="1019">
        <f t="shared" si="20"/>
        <v>0</v>
      </c>
      <c r="U32" s="1019"/>
      <c r="V32" s="1019"/>
      <c r="W32" s="1019"/>
      <c r="X32" s="1019"/>
      <c r="Y32" s="1019">
        <f>SUM(W32+X32)</f>
        <v>0</v>
      </c>
      <c r="Z32" s="1019"/>
      <c r="AA32" s="1019">
        <v>2000000</v>
      </c>
      <c r="AB32" s="1019">
        <v>2000000</v>
      </c>
      <c r="AC32" s="1019"/>
      <c r="AD32" s="1019">
        <f>SUM(AB32+AC32)</f>
        <v>2000000</v>
      </c>
      <c r="AE32" s="1019"/>
      <c r="AF32" s="1019"/>
      <c r="AG32" s="1019"/>
      <c r="AH32" s="1019"/>
      <c r="AI32" s="1019">
        <f>SUM(AG32+AH32)</f>
        <v>0</v>
      </c>
      <c r="AJ32" s="1019"/>
      <c r="AK32" s="1019"/>
      <c r="AL32" s="1019"/>
      <c r="AM32" s="1019"/>
      <c r="AN32" s="1019">
        <f t="shared" si="6"/>
        <v>0</v>
      </c>
      <c r="AO32" s="1019">
        <f t="shared" si="7"/>
        <v>0</v>
      </c>
      <c r="AP32" s="1019"/>
      <c r="AQ32" s="1019"/>
      <c r="AR32" s="1019"/>
      <c r="AS32" s="1019">
        <f t="shared" si="8"/>
        <v>0</v>
      </c>
      <c r="AT32" s="1019">
        <f t="shared" si="9"/>
        <v>0</v>
      </c>
      <c r="AU32" s="1019"/>
      <c r="AV32" s="1019"/>
      <c r="AW32" s="1019"/>
      <c r="AX32" s="1019">
        <f t="shared" si="10"/>
        <v>0</v>
      </c>
      <c r="AY32" s="1019">
        <f t="shared" si="11"/>
        <v>0</v>
      </c>
      <c r="AZ32" s="1019"/>
      <c r="BA32" s="1094"/>
      <c r="BB32" s="1019"/>
      <c r="BC32" s="1019">
        <f t="shared" si="12"/>
        <v>0</v>
      </c>
      <c r="BD32" s="1019">
        <f t="shared" si="13"/>
        <v>0</v>
      </c>
      <c r="BE32" s="1019"/>
      <c r="BF32" s="1094"/>
      <c r="BG32" s="1019"/>
      <c r="BH32" s="1019">
        <f t="shared" si="14"/>
        <v>0</v>
      </c>
      <c r="BI32" s="1019">
        <f t="shared" si="15"/>
        <v>0</v>
      </c>
      <c r="BJ32" s="1007">
        <f t="shared" si="16"/>
        <v>2000000</v>
      </c>
      <c r="BK32" s="1007">
        <f t="shared" si="17"/>
        <v>2000000</v>
      </c>
      <c r="BL32" s="1007">
        <f t="shared" si="18"/>
        <v>0</v>
      </c>
      <c r="BM32" s="1013">
        <f t="shared" si="4"/>
        <v>2000000</v>
      </c>
      <c r="BN32" s="1013">
        <f>SUM(F32+K32+P32+U32+Z32+AE32+AJ32+AO32+AT32+AY32+BD32+BI32)</f>
        <v>0</v>
      </c>
      <c r="BO32" s="1090">
        <f>BJ32+'4 bba Önkorm '!DM31</f>
        <v>2000000</v>
      </c>
      <c r="BP32" s="1090">
        <f>BK32+'4 bba Önkorm '!DN31</f>
        <v>2000000</v>
      </c>
      <c r="BQ32" s="1090">
        <f>BL32+'4 bba Önkorm '!DO31</f>
        <v>0</v>
      </c>
      <c r="BR32" s="1090">
        <f>BM32+'4 bba Önkorm '!DP31</f>
        <v>2000000</v>
      </c>
      <c r="BS32" s="1090">
        <f>BN32+'4 bba Önkorm '!DQ31</f>
        <v>0</v>
      </c>
    </row>
    <row r="33" spans="1:71" ht="15" customHeight="1">
      <c r="A33" s="405" t="s">
        <v>713</v>
      </c>
      <c r="B33" s="321"/>
      <c r="C33" s="1019"/>
      <c r="D33" s="1019"/>
      <c r="E33" s="1019">
        <f t="shared" si="21"/>
        <v>0</v>
      </c>
      <c r="F33" s="1019"/>
      <c r="G33" s="1019"/>
      <c r="H33" s="1019"/>
      <c r="I33" s="1019"/>
      <c r="J33" s="1019">
        <f t="shared" si="19"/>
        <v>0</v>
      </c>
      <c r="K33" s="1019"/>
      <c r="L33" s="1019"/>
      <c r="M33" s="1019"/>
      <c r="N33" s="1019"/>
      <c r="O33" s="1019">
        <f>SUM(M33+N33)</f>
        <v>0</v>
      </c>
      <c r="P33" s="1019"/>
      <c r="Q33" s="1019"/>
      <c r="R33" s="1019"/>
      <c r="S33" s="1019"/>
      <c r="T33" s="1019">
        <f t="shared" si="20"/>
        <v>0</v>
      </c>
      <c r="U33" s="1019"/>
      <c r="V33" s="1019"/>
      <c r="W33" s="1019"/>
      <c r="X33" s="1019"/>
      <c r="Y33" s="1019">
        <f>SUM(W33+X33)</f>
        <v>0</v>
      </c>
      <c r="Z33" s="1019"/>
      <c r="AA33" s="1019"/>
      <c r="AB33" s="1019"/>
      <c r="AC33" s="1019"/>
      <c r="AD33" s="1019">
        <f>SUM(AB33+AC33)</f>
        <v>0</v>
      </c>
      <c r="AE33" s="1019"/>
      <c r="AF33" s="1019">
        <v>50000000</v>
      </c>
      <c r="AG33" s="1019">
        <v>108418596</v>
      </c>
      <c r="AH33" s="943">
        <f>-2505705-7031702-3378156</f>
        <v>-12915563</v>
      </c>
      <c r="AI33" s="1019">
        <v>486924456</v>
      </c>
      <c r="AJ33" s="1019"/>
      <c r="AK33" s="1019"/>
      <c r="AL33" s="1019"/>
      <c r="AM33" s="1019"/>
      <c r="AN33" s="1019">
        <f t="shared" si="6"/>
        <v>0</v>
      </c>
      <c r="AO33" s="1019">
        <f t="shared" si="7"/>
        <v>0</v>
      </c>
      <c r="AP33" s="1019"/>
      <c r="AQ33" s="1019"/>
      <c r="AR33" s="1019"/>
      <c r="AS33" s="1019">
        <f t="shared" si="8"/>
        <v>0</v>
      </c>
      <c r="AT33" s="1019">
        <f t="shared" si="9"/>
        <v>0</v>
      </c>
      <c r="AU33" s="1019"/>
      <c r="AV33" s="1019"/>
      <c r="AW33" s="1019"/>
      <c r="AX33" s="1019">
        <f t="shared" si="10"/>
        <v>0</v>
      </c>
      <c r="AY33" s="1019">
        <f t="shared" si="11"/>
        <v>0</v>
      </c>
      <c r="AZ33" s="1019"/>
      <c r="BA33" s="1094"/>
      <c r="BB33" s="1019"/>
      <c r="BC33" s="1019">
        <f t="shared" si="12"/>
        <v>0</v>
      </c>
      <c r="BD33" s="1019">
        <f t="shared" si="13"/>
        <v>0</v>
      </c>
      <c r="BE33" s="1019"/>
      <c r="BF33" s="1094"/>
      <c r="BG33" s="1019"/>
      <c r="BH33" s="1019">
        <f t="shared" si="14"/>
        <v>0</v>
      </c>
      <c r="BI33" s="1019">
        <f t="shared" si="15"/>
        <v>0</v>
      </c>
      <c r="BJ33" s="1007">
        <f t="shared" si="16"/>
        <v>50000000</v>
      </c>
      <c r="BK33" s="1007">
        <f t="shared" si="17"/>
        <v>108418596</v>
      </c>
      <c r="BL33" s="1007">
        <f t="shared" si="18"/>
        <v>-12915563</v>
      </c>
      <c r="BM33" s="1013">
        <f t="shared" si="4"/>
        <v>486924456</v>
      </c>
      <c r="BN33" s="1013">
        <f t="shared" si="5"/>
        <v>0</v>
      </c>
      <c r="BO33" s="1090">
        <f>BJ33+'4 bba Önkorm '!DM32</f>
        <v>50000000</v>
      </c>
      <c r="BP33" s="1090">
        <f>BK33+'4 bba Önkorm '!DN32</f>
        <v>108418596</v>
      </c>
      <c r="BQ33" s="1090">
        <f>BL33+'4 bba Önkorm '!DO32</f>
        <v>-12915563</v>
      </c>
      <c r="BR33" s="1090">
        <f>BM33+'4 bba Önkorm '!DP32</f>
        <v>486924456</v>
      </c>
      <c r="BS33" s="1090">
        <f>BN33+'4 bba Önkorm '!DQ32</f>
        <v>0</v>
      </c>
    </row>
    <row r="34" spans="1:71" ht="15" customHeight="1">
      <c r="A34" s="405" t="s">
        <v>714</v>
      </c>
      <c r="B34" s="321"/>
      <c r="C34" s="1019"/>
      <c r="D34" s="1019"/>
      <c r="E34" s="1019">
        <f t="shared" si="21"/>
        <v>0</v>
      </c>
      <c r="F34" s="1019"/>
      <c r="G34" s="1019"/>
      <c r="H34" s="1019">
        <v>26860500</v>
      </c>
      <c r="I34" s="1019"/>
      <c r="J34" s="1019">
        <f t="shared" si="19"/>
        <v>26860500</v>
      </c>
      <c r="K34" s="1019"/>
      <c r="L34" s="1019">
        <v>37500000</v>
      </c>
      <c r="M34" s="1019">
        <v>33558200</v>
      </c>
      <c r="N34" s="1019">
        <v>-25209776</v>
      </c>
      <c r="O34" s="1019">
        <v>660014</v>
      </c>
      <c r="P34" s="1019"/>
      <c r="Q34" s="1019">
        <v>24270000</v>
      </c>
      <c r="R34" s="1019">
        <f>5500000+18770000</f>
        <v>24270000</v>
      </c>
      <c r="S34" s="1019">
        <v>-13046046</v>
      </c>
      <c r="T34" s="1019">
        <v>9198618</v>
      </c>
      <c r="U34" s="1019"/>
      <c r="V34" s="1019">
        <v>10000000</v>
      </c>
      <c r="W34" s="1019">
        <v>10000000</v>
      </c>
      <c r="X34" s="1019"/>
      <c r="Y34" s="1019">
        <v>53620</v>
      </c>
      <c r="Z34" s="1019"/>
      <c r="AA34" s="1019">
        <v>31020000</v>
      </c>
      <c r="AB34" s="1019">
        <v>31020000</v>
      </c>
      <c r="AC34" s="1019">
        <v>-14116582</v>
      </c>
      <c r="AD34" s="1019">
        <v>653418</v>
      </c>
      <c r="AE34" s="1019"/>
      <c r="AF34" s="1019">
        <v>143300000</v>
      </c>
      <c r="AG34" s="1019">
        <v>903906605</v>
      </c>
      <c r="AH34" s="943">
        <v>207771966</v>
      </c>
      <c r="AI34" s="1019">
        <v>1227526536</v>
      </c>
      <c r="AJ34" s="1019"/>
      <c r="AK34" s="1019"/>
      <c r="AL34" s="1019"/>
      <c r="AM34" s="1019"/>
      <c r="AN34" s="1019">
        <f t="shared" si="6"/>
        <v>0</v>
      </c>
      <c r="AO34" s="1019">
        <f t="shared" si="7"/>
        <v>0</v>
      </c>
      <c r="AP34" s="1019"/>
      <c r="AQ34" s="1019"/>
      <c r="AR34" s="1019"/>
      <c r="AS34" s="1019">
        <f t="shared" si="8"/>
        <v>0</v>
      </c>
      <c r="AT34" s="1019">
        <f t="shared" si="9"/>
        <v>0</v>
      </c>
      <c r="AU34" s="1019"/>
      <c r="AV34" s="1019"/>
      <c r="AW34" s="1019"/>
      <c r="AX34" s="1019">
        <f t="shared" si="10"/>
        <v>0</v>
      </c>
      <c r="AY34" s="1019">
        <f t="shared" si="11"/>
        <v>0</v>
      </c>
      <c r="AZ34" s="1019"/>
      <c r="BA34" s="1094"/>
      <c r="BB34" s="1019"/>
      <c r="BC34" s="1019">
        <f t="shared" si="12"/>
        <v>0</v>
      </c>
      <c r="BD34" s="1019">
        <f t="shared" si="13"/>
        <v>0</v>
      </c>
      <c r="BE34" s="1019"/>
      <c r="BF34" s="1094"/>
      <c r="BG34" s="1019"/>
      <c r="BH34" s="1019">
        <f t="shared" si="14"/>
        <v>0</v>
      </c>
      <c r="BI34" s="1019">
        <f t="shared" si="15"/>
        <v>0</v>
      </c>
      <c r="BJ34" s="1007">
        <f t="shared" si="16"/>
        <v>246090000</v>
      </c>
      <c r="BK34" s="1007">
        <f t="shared" si="17"/>
        <v>1029615305</v>
      </c>
      <c r="BL34" s="1007">
        <f t="shared" si="18"/>
        <v>155399562</v>
      </c>
      <c r="BM34" s="1013">
        <f t="shared" si="4"/>
        <v>1264952706</v>
      </c>
      <c r="BN34" s="1013">
        <f t="shared" si="5"/>
        <v>0</v>
      </c>
      <c r="BO34" s="1090">
        <f>BJ34+'4 bba Önkorm '!DM33</f>
        <v>246090000</v>
      </c>
      <c r="BP34" s="1090">
        <f>BK34+'4 bba Önkorm '!DN33</f>
        <v>1064615305</v>
      </c>
      <c r="BQ34" s="1090">
        <f>BL34+'4 bba Önkorm '!DO33</f>
        <v>155399562</v>
      </c>
      <c r="BR34" s="1090">
        <f>BM34+'4 bba Önkorm '!DP33</f>
        <v>1278172723</v>
      </c>
      <c r="BS34" s="1090">
        <f>BN34+'4 bba Önkorm '!DQ33</f>
        <v>0</v>
      </c>
    </row>
    <row r="35" spans="1:71" ht="15" customHeight="1">
      <c r="A35" s="1054" t="s">
        <v>715</v>
      </c>
      <c r="B35" s="1198">
        <f t="shared" ref="B35:AG35" si="22">SUM(B18:B34)</f>
        <v>57589000</v>
      </c>
      <c r="C35" s="1198">
        <f t="shared" si="22"/>
        <v>52244100</v>
      </c>
      <c r="D35" s="1198">
        <f t="shared" si="22"/>
        <v>225005</v>
      </c>
      <c r="E35" s="1198">
        <f t="shared" si="22"/>
        <v>52484105</v>
      </c>
      <c r="F35" s="1198">
        <f t="shared" si="22"/>
        <v>48543115</v>
      </c>
      <c r="G35" s="1198">
        <f t="shared" si="22"/>
        <v>30949000</v>
      </c>
      <c r="H35" s="1198">
        <f t="shared" si="22"/>
        <v>57809500</v>
      </c>
      <c r="I35" s="1198">
        <f t="shared" si="22"/>
        <v>-368300</v>
      </c>
      <c r="J35" s="1198">
        <f t="shared" si="22"/>
        <v>84422600</v>
      </c>
      <c r="K35" s="1198">
        <f t="shared" si="22"/>
        <v>27760030</v>
      </c>
      <c r="L35" s="1198">
        <f t="shared" si="22"/>
        <v>198458000</v>
      </c>
      <c r="M35" s="1198">
        <f t="shared" si="22"/>
        <v>205764080</v>
      </c>
      <c r="N35" s="1198">
        <f t="shared" si="22"/>
        <v>-2125916</v>
      </c>
      <c r="O35" s="1198">
        <f t="shared" si="22"/>
        <v>219050765</v>
      </c>
      <c r="P35" s="1198">
        <f t="shared" si="22"/>
        <v>169484195</v>
      </c>
      <c r="Q35" s="1198">
        <f t="shared" si="22"/>
        <v>240687000</v>
      </c>
      <c r="R35" s="1198">
        <f t="shared" si="22"/>
        <v>295449979</v>
      </c>
      <c r="S35" s="1198">
        <f t="shared" si="22"/>
        <v>0</v>
      </c>
      <c r="T35" s="1198">
        <f t="shared" si="22"/>
        <v>584970044</v>
      </c>
      <c r="U35" s="1198">
        <f t="shared" si="22"/>
        <v>318282186</v>
      </c>
      <c r="V35" s="1198">
        <f t="shared" si="22"/>
        <v>57012000</v>
      </c>
      <c r="W35" s="1198">
        <f t="shared" si="22"/>
        <v>69984000</v>
      </c>
      <c r="X35" s="1198">
        <f t="shared" si="22"/>
        <v>0</v>
      </c>
      <c r="Y35" s="1198">
        <f t="shared" si="22"/>
        <v>66317760</v>
      </c>
      <c r="Z35" s="1198">
        <f t="shared" si="22"/>
        <v>57538444</v>
      </c>
      <c r="AA35" s="1198">
        <f t="shared" si="22"/>
        <v>686198000</v>
      </c>
      <c r="AB35" s="1198">
        <f t="shared" si="22"/>
        <v>679524801</v>
      </c>
      <c r="AC35" s="1198">
        <f t="shared" si="22"/>
        <v>-10433319</v>
      </c>
      <c r="AD35" s="1198">
        <f t="shared" si="22"/>
        <v>651875115</v>
      </c>
      <c r="AE35" s="1198">
        <f t="shared" si="22"/>
        <v>511231176</v>
      </c>
      <c r="AF35" s="1198">
        <f t="shared" si="22"/>
        <v>407668200</v>
      </c>
      <c r="AG35" s="1198">
        <f t="shared" si="22"/>
        <v>1256093289</v>
      </c>
      <c r="AH35" s="1198">
        <f t="shared" ref="AH35:BN35" si="23">SUM(AH18:AH34)</f>
        <v>190721198</v>
      </c>
      <c r="AI35" s="1198">
        <f t="shared" si="23"/>
        <v>1982995604</v>
      </c>
      <c r="AJ35" s="1198">
        <f t="shared" si="23"/>
        <v>215646302</v>
      </c>
      <c r="AK35" s="1198">
        <f t="shared" si="23"/>
        <v>0</v>
      </c>
      <c r="AL35" s="1198">
        <f t="shared" si="23"/>
        <v>0</v>
      </c>
      <c r="AM35" s="1198">
        <f t="shared" si="23"/>
        <v>0</v>
      </c>
      <c r="AN35" s="1198">
        <f t="shared" si="23"/>
        <v>0</v>
      </c>
      <c r="AO35" s="1198">
        <f t="shared" si="23"/>
        <v>0</v>
      </c>
      <c r="AP35" s="1198">
        <f t="shared" si="23"/>
        <v>0</v>
      </c>
      <c r="AQ35" s="1198">
        <f t="shared" si="23"/>
        <v>0</v>
      </c>
      <c r="AR35" s="1198">
        <f t="shared" si="23"/>
        <v>0</v>
      </c>
      <c r="AS35" s="1198">
        <f t="shared" si="23"/>
        <v>0</v>
      </c>
      <c r="AT35" s="1198">
        <f t="shared" si="23"/>
        <v>0</v>
      </c>
      <c r="AU35" s="1198">
        <f t="shared" si="23"/>
        <v>0</v>
      </c>
      <c r="AV35" s="1198">
        <f t="shared" si="23"/>
        <v>0</v>
      </c>
      <c r="AW35" s="1198">
        <f t="shared" si="23"/>
        <v>0</v>
      </c>
      <c r="AX35" s="1198">
        <f t="shared" si="23"/>
        <v>0</v>
      </c>
      <c r="AY35" s="1198">
        <f t="shared" si="23"/>
        <v>0</v>
      </c>
      <c r="AZ35" s="1198">
        <f t="shared" si="23"/>
        <v>0</v>
      </c>
      <c r="BA35" s="1198">
        <f t="shared" si="23"/>
        <v>0</v>
      </c>
      <c r="BB35" s="1198">
        <f t="shared" si="23"/>
        <v>0</v>
      </c>
      <c r="BC35" s="1198">
        <f t="shared" si="23"/>
        <v>0</v>
      </c>
      <c r="BD35" s="1198">
        <f t="shared" si="23"/>
        <v>0</v>
      </c>
      <c r="BE35" s="1198">
        <f t="shared" si="23"/>
        <v>0</v>
      </c>
      <c r="BF35" s="1198">
        <f t="shared" si="23"/>
        <v>0</v>
      </c>
      <c r="BG35" s="1198">
        <f t="shared" si="23"/>
        <v>0</v>
      </c>
      <c r="BH35" s="1198">
        <f t="shared" si="23"/>
        <v>0</v>
      </c>
      <c r="BI35" s="1198">
        <f t="shared" si="23"/>
        <v>0</v>
      </c>
      <c r="BJ35" s="1023">
        <f t="shared" si="23"/>
        <v>1678561200</v>
      </c>
      <c r="BK35" s="1023">
        <f t="shared" si="23"/>
        <v>2616869749</v>
      </c>
      <c r="BL35" s="1023">
        <f t="shared" si="23"/>
        <v>178018668</v>
      </c>
      <c r="BM35" s="1023">
        <f t="shared" si="23"/>
        <v>3642115993</v>
      </c>
      <c r="BN35" s="1023">
        <f t="shared" si="23"/>
        <v>1348485448</v>
      </c>
      <c r="BO35" s="1023">
        <f>SUM(BO18:BO34)</f>
        <v>3455320200</v>
      </c>
      <c r="BP35" s="1023">
        <f>SUM(BP18:BP34)</f>
        <v>4475331597</v>
      </c>
      <c r="BQ35" s="1023">
        <f>SUM(BQ18:BQ34)</f>
        <v>179477990</v>
      </c>
      <c r="BR35" s="1023">
        <f>SUM(BR18:BR34)</f>
        <v>5547315886</v>
      </c>
      <c r="BS35" s="1023">
        <f>SUM(BS18:BS34)</f>
        <v>2991822266</v>
      </c>
    </row>
    <row r="36" spans="1:71" ht="14.25" customHeight="1">
      <c r="A36" s="630" t="s">
        <v>26</v>
      </c>
      <c r="B36" s="633">
        <v>254000</v>
      </c>
      <c r="C36" s="1099">
        <f>1905000-1651000</f>
        <v>254000</v>
      </c>
      <c r="D36" s="1099"/>
      <c r="E36" s="1099">
        <f t="shared" ref="E36:E44" si="24">SUM(C36:D36)</f>
        <v>254000</v>
      </c>
      <c r="F36" s="1019"/>
      <c r="G36" s="1099">
        <v>115563000</v>
      </c>
      <c r="H36" s="1099">
        <v>125977000</v>
      </c>
      <c r="I36" s="1099">
        <v>6718300</v>
      </c>
      <c r="J36" s="1099">
        <v>113968900</v>
      </c>
      <c r="K36" s="1019">
        <v>67226513</v>
      </c>
      <c r="L36" s="1099">
        <v>6350000</v>
      </c>
      <c r="M36" s="1099">
        <v>6350000</v>
      </c>
      <c r="N36" s="1099"/>
      <c r="O36" s="1099">
        <v>5104140</v>
      </c>
      <c r="P36" s="1019">
        <v>5104140</v>
      </c>
      <c r="Q36" s="1099">
        <v>1390936000</v>
      </c>
      <c r="R36" s="1099">
        <v>1500644040</v>
      </c>
      <c r="S36" s="1099">
        <v>44272769</v>
      </c>
      <c r="T36" s="1099">
        <v>1326282647</v>
      </c>
      <c r="U36" s="1019">
        <v>566741859</v>
      </c>
      <c r="V36" s="1099">
        <v>8890000</v>
      </c>
      <c r="W36" s="1099">
        <v>8890000</v>
      </c>
      <c r="X36" s="1099"/>
      <c r="Y36" s="1099">
        <v>9256240</v>
      </c>
      <c r="Z36" s="1019">
        <v>9053040</v>
      </c>
      <c r="AA36" s="1099">
        <v>15000000</v>
      </c>
      <c r="AB36" s="1099">
        <v>35000000</v>
      </c>
      <c r="AC36" s="1099"/>
      <c r="AD36" s="1099">
        <f>SUM(AB36:AC36)</f>
        <v>35000000</v>
      </c>
      <c r="AE36" s="1019"/>
      <c r="AF36" s="1099"/>
      <c r="AG36" s="1099"/>
      <c r="AH36" s="1099"/>
      <c r="AI36" s="1099">
        <f t="shared" ref="AI36:AI44" si="25">SUM(AG36:AH36)</f>
        <v>0</v>
      </c>
      <c r="AJ36" s="1019"/>
      <c r="AK36" s="1099"/>
      <c r="AL36" s="1099"/>
      <c r="AM36" s="1099"/>
      <c r="AN36" s="1099">
        <f t="shared" ref="AN36:AN44" si="26">SUM(AL36:AM36)</f>
        <v>0</v>
      </c>
      <c r="AO36" s="1019">
        <f t="shared" ref="AO36:AO44" si="27">AL36-AK36</f>
        <v>0</v>
      </c>
      <c r="AP36" s="1099"/>
      <c r="AQ36" s="1099"/>
      <c r="AR36" s="1099"/>
      <c r="AS36" s="1099">
        <f t="shared" ref="AS36:AS44" si="28">SUM(AQ36:AR36)</f>
        <v>0</v>
      </c>
      <c r="AT36" s="1019">
        <f t="shared" ref="AT36:AT44" si="29">AQ36-AP36</f>
        <v>0</v>
      </c>
      <c r="AU36" s="1099"/>
      <c r="AV36" s="1099"/>
      <c r="AW36" s="1099"/>
      <c r="AX36" s="1099">
        <f t="shared" ref="AX36:AX44" si="30">SUM(AV36:AW36)</f>
        <v>0</v>
      </c>
      <c r="AY36" s="1019">
        <f t="shared" ref="AY36:AY44" si="31">AV36-AU36</f>
        <v>0</v>
      </c>
      <c r="AZ36" s="1099"/>
      <c r="BA36" s="1094"/>
      <c r="BB36" s="1099"/>
      <c r="BC36" s="1099">
        <f t="shared" ref="BC36:BC44" si="32">SUM(BA36+BB36)</f>
        <v>0</v>
      </c>
      <c r="BD36" s="1019">
        <f t="shared" ref="BD36:BD44" si="33">BA36-AZ36</f>
        <v>0</v>
      </c>
      <c r="BE36" s="1099"/>
      <c r="BF36" s="1094"/>
      <c r="BG36" s="1099"/>
      <c r="BH36" s="1099">
        <f t="shared" ref="BH36:BH44" si="34">SUM(BF36+BG36)</f>
        <v>0</v>
      </c>
      <c r="BI36" s="1019">
        <f t="shared" ref="BI36:BI44" si="35">BF36-BE36</f>
        <v>0</v>
      </c>
      <c r="BJ36" s="1007">
        <f t="shared" ref="BJ36:BJ44" si="36">SUM(B36+G36+L36+Q36+V36+AA36+AF36+AK36+AP36+AU36+AZ36+BE36)</f>
        <v>1536993000</v>
      </c>
      <c r="BK36" s="1007">
        <f t="shared" ref="BK36:BK44" si="37">SUM(C36+H36+M36+R36+W36+AB36+AG36+AL36+AQ36+AV36+BA36+BF36)</f>
        <v>1677115040</v>
      </c>
      <c r="BL36" s="1007">
        <f t="shared" ref="BL36:BL44" si="38">SUM(D36+I36+N36+S36+X36+AC36+AH36+AM36+AR36+AW36+BB36+BG36)</f>
        <v>50991069</v>
      </c>
      <c r="BM36" s="1013">
        <f t="shared" ref="BM36:BN44" si="39">SUM(E36+J36+O36+T36+Y36+AD36+AI36+AN36+AS36+AX36+BC36+BH36)</f>
        <v>1489865927</v>
      </c>
      <c r="BN36" s="1013">
        <f t="shared" si="39"/>
        <v>648125552</v>
      </c>
      <c r="BO36" s="1090">
        <f>BJ36+'4 bba Önkorm '!DM35</f>
        <v>1537779000</v>
      </c>
      <c r="BP36" s="1090">
        <f>BK36+'4 bba Önkorm '!DN35</f>
        <v>1678570330</v>
      </c>
      <c r="BQ36" s="1090">
        <f>BL36+'4 bba Önkorm '!DO35</f>
        <v>50991069</v>
      </c>
      <c r="BR36" s="1013">
        <f>BM36+'4 bba Önkorm '!DP35</f>
        <v>1495321217</v>
      </c>
      <c r="BS36" s="1013">
        <f>BN36+'4 bba Önkorm '!DQ35</f>
        <v>649539596</v>
      </c>
    </row>
    <row r="37" spans="1:71" ht="14.25" customHeight="1">
      <c r="A37" s="630" t="s">
        <v>28</v>
      </c>
      <c r="C37" s="1099"/>
      <c r="D37" s="1099"/>
      <c r="E37" s="1099">
        <f t="shared" si="24"/>
        <v>0</v>
      </c>
      <c r="F37" s="1019"/>
      <c r="G37" s="1099">
        <v>9525000</v>
      </c>
      <c r="H37" s="1099">
        <v>9525000</v>
      </c>
      <c r="I37" s="1099"/>
      <c r="J37" s="1099">
        <f t="shared" ref="J37:J44" si="40">SUM(H37:I37)</f>
        <v>9525000</v>
      </c>
      <c r="K37" s="1019">
        <v>9525000</v>
      </c>
      <c r="L37" s="1099"/>
      <c r="M37" s="1099"/>
      <c r="N37" s="1099"/>
      <c r="O37" s="1099">
        <f>SUM(M37:N37)</f>
        <v>0</v>
      </c>
      <c r="P37" s="1019"/>
      <c r="Q37" s="1099">
        <v>1171136000</v>
      </c>
      <c r="R37" s="1099">
        <v>1186734450</v>
      </c>
      <c r="S37" s="1099">
        <v>-25000</v>
      </c>
      <c r="T37" s="1099">
        <v>1183764310</v>
      </c>
      <c r="U37" s="1019">
        <v>1153023739</v>
      </c>
      <c r="V37" s="1099"/>
      <c r="W37" s="1099"/>
      <c r="X37" s="1099"/>
      <c r="Y37" s="1099">
        <f>SUM(W37:X37)</f>
        <v>0</v>
      </c>
      <c r="Z37" s="1019"/>
      <c r="AA37" s="1099"/>
      <c r="AB37" s="1099"/>
      <c r="AC37" s="1099"/>
      <c r="AD37" s="1099">
        <f>SUM(AB37:AC37)</f>
        <v>0</v>
      </c>
      <c r="AE37" s="1019"/>
      <c r="AF37" s="1099"/>
      <c r="AG37" s="1099"/>
      <c r="AH37" s="1099"/>
      <c r="AI37" s="1099">
        <f t="shared" si="25"/>
        <v>0</v>
      </c>
      <c r="AJ37" s="1019"/>
      <c r="AK37" s="1099"/>
      <c r="AL37" s="1099"/>
      <c r="AM37" s="1099"/>
      <c r="AN37" s="1099">
        <f t="shared" si="26"/>
        <v>0</v>
      </c>
      <c r="AO37" s="1019">
        <f t="shared" si="27"/>
        <v>0</v>
      </c>
      <c r="AP37" s="1099"/>
      <c r="AQ37" s="1099"/>
      <c r="AR37" s="1099"/>
      <c r="AS37" s="1099">
        <f t="shared" si="28"/>
        <v>0</v>
      </c>
      <c r="AT37" s="1019">
        <f t="shared" si="29"/>
        <v>0</v>
      </c>
      <c r="AU37" s="1099"/>
      <c r="AV37" s="1099"/>
      <c r="AW37" s="1099"/>
      <c r="AX37" s="1099">
        <f t="shared" si="30"/>
        <v>0</v>
      </c>
      <c r="AY37" s="1019">
        <f t="shared" si="31"/>
        <v>0</v>
      </c>
      <c r="AZ37" s="1099"/>
      <c r="BA37" s="1094"/>
      <c r="BB37" s="1099"/>
      <c r="BC37" s="1099">
        <f t="shared" si="32"/>
        <v>0</v>
      </c>
      <c r="BD37" s="1019">
        <f t="shared" si="33"/>
        <v>0</v>
      </c>
      <c r="BE37" s="1099"/>
      <c r="BF37" s="1094"/>
      <c r="BG37" s="1099"/>
      <c r="BH37" s="1099">
        <f t="shared" si="34"/>
        <v>0</v>
      </c>
      <c r="BI37" s="1019">
        <f t="shared" si="35"/>
        <v>0</v>
      </c>
      <c r="BJ37" s="1007">
        <f t="shared" si="36"/>
        <v>1180661000</v>
      </c>
      <c r="BK37" s="1007">
        <f t="shared" si="37"/>
        <v>1196259450</v>
      </c>
      <c r="BL37" s="1007">
        <f t="shared" si="38"/>
        <v>-25000</v>
      </c>
      <c r="BM37" s="1013">
        <f t="shared" si="39"/>
        <v>1193289310</v>
      </c>
      <c r="BN37" s="1013">
        <f t="shared" si="39"/>
        <v>1162548739</v>
      </c>
      <c r="BO37" s="1090">
        <f>BJ37+'4 bba Önkorm '!DM36</f>
        <v>1293638000</v>
      </c>
      <c r="BP37" s="1090">
        <f>BK37+'4 bba Önkorm '!DN36</f>
        <v>1309236450</v>
      </c>
      <c r="BQ37" s="1090">
        <f>BL37+'4 bba Önkorm '!DO36</f>
        <v>-25000</v>
      </c>
      <c r="BR37" s="1013">
        <f>BM37+'4 bba Önkorm '!DP36</f>
        <v>1329480810</v>
      </c>
      <c r="BS37" s="1013">
        <f>BN37+'4 bba Önkorm '!DQ36</f>
        <v>1288629666</v>
      </c>
    </row>
    <row r="38" spans="1:71" ht="14.25" hidden="1" customHeight="1">
      <c r="A38" s="630" t="s">
        <v>30</v>
      </c>
      <c r="C38" s="1099"/>
      <c r="D38" s="1099"/>
      <c r="E38" s="1099">
        <f t="shared" si="24"/>
        <v>0</v>
      </c>
      <c r="F38" s="1019"/>
      <c r="G38" s="1099"/>
      <c r="H38" s="1099"/>
      <c r="I38" s="1099"/>
      <c r="J38" s="1099">
        <f t="shared" si="40"/>
        <v>0</v>
      </c>
      <c r="K38" s="1019"/>
      <c r="L38" s="1099"/>
      <c r="M38" s="1099"/>
      <c r="N38" s="1099"/>
      <c r="O38" s="1099">
        <f>SUM(M38:N38)</f>
        <v>0</v>
      </c>
      <c r="P38" s="1019"/>
      <c r="Q38" s="1099"/>
      <c r="R38" s="1099"/>
      <c r="S38" s="1099"/>
      <c r="T38" s="1099">
        <f>SUM(R38:S38)</f>
        <v>0</v>
      </c>
      <c r="U38" s="1019"/>
      <c r="V38" s="1099"/>
      <c r="W38" s="1099"/>
      <c r="X38" s="1099"/>
      <c r="Y38" s="1099">
        <f>SUM(W38:X38)</f>
        <v>0</v>
      </c>
      <c r="Z38" s="1019"/>
      <c r="AA38" s="1099"/>
      <c r="AB38" s="1099"/>
      <c r="AC38" s="1099"/>
      <c r="AD38" s="1099">
        <f>SUM(AB38:AC38)</f>
        <v>0</v>
      </c>
      <c r="AE38" s="1019"/>
      <c r="AF38" s="1099"/>
      <c r="AG38" s="1099"/>
      <c r="AH38" s="1099"/>
      <c r="AI38" s="1099">
        <f t="shared" si="25"/>
        <v>0</v>
      </c>
      <c r="AJ38" s="1019"/>
      <c r="AK38" s="1099"/>
      <c r="AL38" s="1099"/>
      <c r="AM38" s="1099"/>
      <c r="AN38" s="1099">
        <f t="shared" si="26"/>
        <v>0</v>
      </c>
      <c r="AO38" s="1019">
        <f t="shared" si="27"/>
        <v>0</v>
      </c>
      <c r="AP38" s="1099"/>
      <c r="AQ38" s="1099"/>
      <c r="AR38" s="1099"/>
      <c r="AS38" s="1099">
        <f t="shared" si="28"/>
        <v>0</v>
      </c>
      <c r="AT38" s="1019">
        <f t="shared" si="29"/>
        <v>0</v>
      </c>
      <c r="AU38" s="1099"/>
      <c r="AV38" s="1099"/>
      <c r="AW38" s="1099"/>
      <c r="AX38" s="1099">
        <f t="shared" si="30"/>
        <v>0</v>
      </c>
      <c r="AY38" s="1019">
        <f t="shared" si="31"/>
        <v>0</v>
      </c>
      <c r="AZ38" s="1099"/>
      <c r="BA38" s="1094"/>
      <c r="BB38" s="1099"/>
      <c r="BC38" s="1099">
        <f t="shared" si="32"/>
        <v>0</v>
      </c>
      <c r="BD38" s="1019">
        <f t="shared" si="33"/>
        <v>0</v>
      </c>
      <c r="BE38" s="1099"/>
      <c r="BF38" s="1094"/>
      <c r="BG38" s="1099"/>
      <c r="BH38" s="1099">
        <f t="shared" si="34"/>
        <v>0</v>
      </c>
      <c r="BI38" s="1019">
        <f t="shared" si="35"/>
        <v>0</v>
      </c>
      <c r="BJ38" s="1007">
        <f t="shared" si="36"/>
        <v>0</v>
      </c>
      <c r="BK38" s="1007">
        <f t="shared" si="37"/>
        <v>0</v>
      </c>
      <c r="BL38" s="1007">
        <f t="shared" si="38"/>
        <v>0</v>
      </c>
      <c r="BM38" s="1013">
        <f t="shared" si="39"/>
        <v>0</v>
      </c>
      <c r="BN38" s="1013">
        <f t="shared" si="39"/>
        <v>0</v>
      </c>
      <c r="BO38" s="1090">
        <f>BJ38+'4 bba Önkorm '!DM37</f>
        <v>0</v>
      </c>
      <c r="BP38" s="1090">
        <f>BK38+'4 bba Önkorm '!DN37</f>
        <v>0</v>
      </c>
      <c r="BQ38" s="1090">
        <f>BL38+'4 bba Önkorm '!DO37</f>
        <v>0</v>
      </c>
      <c r="BR38" s="1013">
        <f>BM38+'4 bba Önkorm '!DP37</f>
        <v>0</v>
      </c>
      <c r="BS38" s="1013">
        <f>BN38+'4 bba Önkorm '!DQ37</f>
        <v>0</v>
      </c>
    </row>
    <row r="39" spans="1:71" ht="15" customHeight="1">
      <c r="A39" s="405" t="s">
        <v>716</v>
      </c>
      <c r="B39" s="321"/>
      <c r="C39" s="1099"/>
      <c r="D39" s="1099"/>
      <c r="E39" s="1099">
        <f t="shared" si="24"/>
        <v>0</v>
      </c>
      <c r="F39" s="1019"/>
      <c r="G39" s="1099"/>
      <c r="H39" s="1099"/>
      <c r="I39" s="1099"/>
      <c r="J39" s="1099">
        <f t="shared" si="40"/>
        <v>0</v>
      </c>
      <c r="K39" s="1019"/>
      <c r="L39" s="1099"/>
      <c r="M39" s="1099">
        <v>0</v>
      </c>
      <c r="N39" s="1099"/>
      <c r="O39" s="1099">
        <f>SUM(M39:N39)</f>
        <v>0</v>
      </c>
      <c r="P39" s="1019"/>
      <c r="Q39" s="1099">
        <v>5923000</v>
      </c>
      <c r="R39" s="1099">
        <v>5923000</v>
      </c>
      <c r="S39" s="1099"/>
      <c r="T39" s="1099">
        <f>SUM(R39:S39)+28</f>
        <v>5923028</v>
      </c>
      <c r="U39" s="1019"/>
      <c r="V39" s="1099"/>
      <c r="W39" s="1099"/>
      <c r="X39" s="1099"/>
      <c r="Y39" s="1099">
        <v>3300000</v>
      </c>
      <c r="Z39" s="1019">
        <v>3300000</v>
      </c>
      <c r="AA39" s="1099"/>
      <c r="AB39" s="1099"/>
      <c r="AC39" s="1099"/>
      <c r="AD39" s="1099">
        <f>SUM(AB39:AC39)</f>
        <v>0</v>
      </c>
      <c r="AE39" s="1019"/>
      <c r="AF39" s="1099"/>
      <c r="AG39" s="1099"/>
      <c r="AH39" s="1099"/>
      <c r="AI39" s="1099">
        <f t="shared" si="25"/>
        <v>0</v>
      </c>
      <c r="AJ39" s="1019"/>
      <c r="AK39" s="1099"/>
      <c r="AL39" s="1099"/>
      <c r="AM39" s="1099"/>
      <c r="AN39" s="1099">
        <f t="shared" si="26"/>
        <v>0</v>
      </c>
      <c r="AO39" s="1019">
        <f t="shared" si="27"/>
        <v>0</v>
      </c>
      <c r="AP39" s="1099"/>
      <c r="AQ39" s="1099"/>
      <c r="AR39" s="1099"/>
      <c r="AS39" s="1099">
        <f t="shared" si="28"/>
        <v>0</v>
      </c>
      <c r="AT39" s="1019">
        <f t="shared" si="29"/>
        <v>0</v>
      </c>
      <c r="AU39" s="1099"/>
      <c r="AV39" s="1099"/>
      <c r="AW39" s="1099"/>
      <c r="AX39" s="1099">
        <f t="shared" si="30"/>
        <v>0</v>
      </c>
      <c r="AY39" s="1019">
        <f t="shared" si="31"/>
        <v>0</v>
      </c>
      <c r="AZ39" s="1099"/>
      <c r="BA39" s="1094"/>
      <c r="BB39" s="1099"/>
      <c r="BC39" s="1099">
        <f t="shared" si="32"/>
        <v>0</v>
      </c>
      <c r="BD39" s="1019">
        <f t="shared" si="33"/>
        <v>0</v>
      </c>
      <c r="BE39" s="1099"/>
      <c r="BF39" s="1094"/>
      <c r="BG39" s="1099"/>
      <c r="BH39" s="1099">
        <f t="shared" si="34"/>
        <v>0</v>
      </c>
      <c r="BI39" s="1019">
        <f t="shared" si="35"/>
        <v>0</v>
      </c>
      <c r="BJ39" s="1007">
        <f t="shared" si="36"/>
        <v>5923000</v>
      </c>
      <c r="BK39" s="1007">
        <f t="shared" si="37"/>
        <v>5923000</v>
      </c>
      <c r="BL39" s="1007">
        <f t="shared" si="38"/>
        <v>0</v>
      </c>
      <c r="BM39" s="1013">
        <f t="shared" si="39"/>
        <v>9223028</v>
      </c>
      <c r="BN39" s="1013">
        <f t="shared" si="39"/>
        <v>3300000</v>
      </c>
      <c r="BO39" s="1090">
        <f>BJ39+'4 bba Önkorm '!DM38</f>
        <v>5923000</v>
      </c>
      <c r="BP39" s="1090">
        <f>BK39+'4 bba Önkorm '!DN38</f>
        <v>5923000</v>
      </c>
      <c r="BQ39" s="1090">
        <f>BL39+'4 bba Önkorm '!DO38</f>
        <v>0</v>
      </c>
      <c r="BR39" s="1013">
        <f>BM39+'4 bba Önkorm '!DP38</f>
        <v>9223028</v>
      </c>
      <c r="BS39" s="1013">
        <f>BN39+'4 bba Önkorm '!DQ38</f>
        <v>3300000</v>
      </c>
    </row>
    <row r="40" spans="1:71" ht="14.25" hidden="1" customHeight="1">
      <c r="A40" s="405" t="s">
        <v>717</v>
      </c>
      <c r="B40" s="321"/>
      <c r="C40" s="1099"/>
      <c r="D40" s="1099"/>
      <c r="E40" s="1099">
        <f t="shared" si="24"/>
        <v>0</v>
      </c>
      <c r="F40" s="1019"/>
      <c r="G40" s="1099"/>
      <c r="H40" s="1099"/>
      <c r="I40" s="1099"/>
      <c r="J40" s="1099">
        <f t="shared" si="40"/>
        <v>0</v>
      </c>
      <c r="K40" s="1019"/>
      <c r="L40" s="1099"/>
      <c r="M40" s="1099"/>
      <c r="N40" s="1099"/>
      <c r="O40" s="1099">
        <f>SUM(M40:N40)</f>
        <v>0</v>
      </c>
      <c r="P40" s="1019"/>
      <c r="Q40" s="1099"/>
      <c r="R40" s="1099"/>
      <c r="S40" s="1099"/>
      <c r="T40" s="1099">
        <f>SUM(R40:S40)</f>
        <v>0</v>
      </c>
      <c r="U40" s="1019"/>
      <c r="V40" s="1099"/>
      <c r="W40" s="1099"/>
      <c r="X40" s="1099"/>
      <c r="Y40" s="1099">
        <f>SUM(W40:X40)</f>
        <v>0</v>
      </c>
      <c r="Z40" s="1019"/>
      <c r="AA40" s="1099"/>
      <c r="AB40" s="1099"/>
      <c r="AC40" s="1099"/>
      <c r="AD40" s="1099">
        <f>SUM(AB40:AC40)</f>
        <v>0</v>
      </c>
      <c r="AE40" s="1019"/>
      <c r="AF40" s="1099"/>
      <c r="AG40" s="1099"/>
      <c r="AH40" s="1099"/>
      <c r="AI40" s="1099">
        <f t="shared" si="25"/>
        <v>0</v>
      </c>
      <c r="AJ40" s="1019"/>
      <c r="AK40" s="1099"/>
      <c r="AL40" s="1099"/>
      <c r="AM40" s="1099"/>
      <c r="AN40" s="1099">
        <f t="shared" si="26"/>
        <v>0</v>
      </c>
      <c r="AO40" s="1019">
        <f t="shared" si="27"/>
        <v>0</v>
      </c>
      <c r="AP40" s="1099"/>
      <c r="AQ40" s="1099"/>
      <c r="AR40" s="1099"/>
      <c r="AS40" s="1099">
        <f t="shared" si="28"/>
        <v>0</v>
      </c>
      <c r="AT40" s="1019">
        <f t="shared" si="29"/>
        <v>0</v>
      </c>
      <c r="AU40" s="1099"/>
      <c r="AV40" s="1099"/>
      <c r="AW40" s="1099"/>
      <c r="AX40" s="1099">
        <f t="shared" si="30"/>
        <v>0</v>
      </c>
      <c r="AY40" s="1019">
        <f t="shared" si="31"/>
        <v>0</v>
      </c>
      <c r="AZ40" s="1099"/>
      <c r="BA40" s="1094"/>
      <c r="BB40" s="1099"/>
      <c r="BC40" s="1099">
        <f t="shared" si="32"/>
        <v>0</v>
      </c>
      <c r="BD40" s="1019">
        <f t="shared" si="33"/>
        <v>0</v>
      </c>
      <c r="BE40" s="1099"/>
      <c r="BF40" s="1094"/>
      <c r="BG40" s="1099"/>
      <c r="BH40" s="1099">
        <f t="shared" si="34"/>
        <v>0</v>
      </c>
      <c r="BI40" s="1019">
        <f t="shared" si="35"/>
        <v>0</v>
      </c>
      <c r="BJ40" s="1007">
        <f t="shared" si="36"/>
        <v>0</v>
      </c>
      <c r="BK40" s="1007">
        <f t="shared" si="37"/>
        <v>0</v>
      </c>
      <c r="BL40" s="1007">
        <f t="shared" si="38"/>
        <v>0</v>
      </c>
      <c r="BM40" s="1013">
        <f t="shared" si="39"/>
        <v>0</v>
      </c>
      <c r="BN40" s="1013">
        <f t="shared" si="39"/>
        <v>0</v>
      </c>
      <c r="BO40" s="1090">
        <f>BJ40+'4 bba Önkorm '!DM39</f>
        <v>0</v>
      </c>
      <c r="BP40" s="1090">
        <f>BK40+'4 bba Önkorm '!DN39</f>
        <v>0</v>
      </c>
      <c r="BQ40" s="1090">
        <f>BL40+'4 bba Önkorm '!DO39</f>
        <v>0</v>
      </c>
      <c r="BR40" s="1013">
        <f>BM40+'4 bba Önkorm '!DP39</f>
        <v>0</v>
      </c>
      <c r="BS40" s="1013">
        <f>BN40+'4 bba Önkorm '!DQ39</f>
        <v>0</v>
      </c>
    </row>
    <row r="41" spans="1:71" ht="14.25" customHeight="1">
      <c r="A41" s="405" t="s">
        <v>718</v>
      </c>
      <c r="B41" s="321"/>
      <c r="C41" s="1099"/>
      <c r="D41" s="1099"/>
      <c r="E41" s="1099">
        <f t="shared" si="24"/>
        <v>0</v>
      </c>
      <c r="F41" s="1019"/>
      <c r="G41" s="1099"/>
      <c r="H41" s="1099"/>
      <c r="I41" s="1099">
        <v>9600000</v>
      </c>
      <c r="J41" s="1099">
        <f t="shared" si="40"/>
        <v>9600000</v>
      </c>
      <c r="K41" s="1019"/>
      <c r="L41" s="1099"/>
      <c r="M41" s="1099">
        <v>4000000</v>
      </c>
      <c r="N41" s="1099">
        <v>1200000</v>
      </c>
      <c r="O41" s="1099">
        <v>45200000</v>
      </c>
      <c r="P41" s="1019">
        <v>45200000</v>
      </c>
      <c r="Q41" s="1099">
        <v>2180000</v>
      </c>
      <c r="R41" s="1099">
        <v>2180000</v>
      </c>
      <c r="S41" s="1099"/>
      <c r="T41" s="1099">
        <v>180000</v>
      </c>
      <c r="U41" s="1019"/>
      <c r="V41" s="1099"/>
      <c r="W41" s="1099"/>
      <c r="X41" s="1099"/>
      <c r="Y41" s="1099">
        <f>SUM(W41:X41)</f>
        <v>0</v>
      </c>
      <c r="Z41" s="1019"/>
      <c r="AA41" s="1099">
        <v>8500000</v>
      </c>
      <c r="AB41" s="1099">
        <f>5500000+3000000</f>
        <v>8500000</v>
      </c>
      <c r="AC41" s="1099"/>
      <c r="AD41" s="1099">
        <v>9650000</v>
      </c>
      <c r="AE41" s="1019">
        <f>170000+4150000</f>
        <v>4320000</v>
      </c>
      <c r="AF41" s="1099"/>
      <c r="AG41" s="1099"/>
      <c r="AH41" s="1099"/>
      <c r="AI41" s="1099">
        <f t="shared" si="25"/>
        <v>0</v>
      </c>
      <c r="AJ41" s="1019"/>
      <c r="AK41" s="1099"/>
      <c r="AL41" s="1099"/>
      <c r="AM41" s="1099"/>
      <c r="AN41" s="1099">
        <f t="shared" si="26"/>
        <v>0</v>
      </c>
      <c r="AO41" s="1019">
        <f t="shared" si="27"/>
        <v>0</v>
      </c>
      <c r="AP41" s="1099"/>
      <c r="AQ41" s="1099"/>
      <c r="AR41" s="1099"/>
      <c r="AS41" s="1099">
        <f t="shared" si="28"/>
        <v>0</v>
      </c>
      <c r="AT41" s="1019">
        <f t="shared" si="29"/>
        <v>0</v>
      </c>
      <c r="AU41" s="1099"/>
      <c r="AV41" s="1099"/>
      <c r="AW41" s="1099"/>
      <c r="AX41" s="1099">
        <f t="shared" si="30"/>
        <v>0</v>
      </c>
      <c r="AY41" s="1019">
        <f t="shared" si="31"/>
        <v>0</v>
      </c>
      <c r="AZ41" s="1099"/>
      <c r="BA41" s="1094"/>
      <c r="BB41" s="1099"/>
      <c r="BC41" s="1099">
        <f t="shared" si="32"/>
        <v>0</v>
      </c>
      <c r="BD41" s="1019">
        <f t="shared" si="33"/>
        <v>0</v>
      </c>
      <c r="BE41" s="1099"/>
      <c r="BF41" s="1094"/>
      <c r="BG41" s="1099"/>
      <c r="BH41" s="1099">
        <f t="shared" si="34"/>
        <v>0</v>
      </c>
      <c r="BI41" s="1019">
        <f t="shared" si="35"/>
        <v>0</v>
      </c>
      <c r="BJ41" s="1007">
        <f t="shared" si="36"/>
        <v>10680000</v>
      </c>
      <c r="BK41" s="1007">
        <f t="shared" si="37"/>
        <v>14680000</v>
      </c>
      <c r="BL41" s="1007">
        <f t="shared" si="38"/>
        <v>10800000</v>
      </c>
      <c r="BM41" s="1013">
        <f t="shared" si="39"/>
        <v>64630000</v>
      </c>
      <c r="BN41" s="1013">
        <f t="shared" si="39"/>
        <v>49520000</v>
      </c>
      <c r="BO41" s="1090">
        <f>BJ41+'4 bba Önkorm '!DM40</f>
        <v>10680000</v>
      </c>
      <c r="BP41" s="1090">
        <f>BK41+'4 bba Önkorm '!DN40</f>
        <v>14680000</v>
      </c>
      <c r="BQ41" s="1090">
        <f>BL41+'4 bba Önkorm '!DO40</f>
        <v>10800000</v>
      </c>
      <c r="BR41" s="1013">
        <f>BM41+'4 bba Önkorm '!DP40</f>
        <v>81803000</v>
      </c>
      <c r="BS41" s="1013">
        <f>BN41+'4 bba Önkorm '!DQ40</f>
        <v>62576377</v>
      </c>
    </row>
    <row r="42" spans="1:71" ht="15" customHeight="1">
      <c r="A42" s="405" t="s">
        <v>719</v>
      </c>
      <c r="B42" s="321">
        <v>10000000</v>
      </c>
      <c r="C42" s="1099">
        <v>10000000</v>
      </c>
      <c r="D42" s="1099"/>
      <c r="E42" s="1099">
        <f t="shared" si="24"/>
        <v>10000000</v>
      </c>
      <c r="F42" s="1019">
        <v>4555000</v>
      </c>
      <c r="G42" s="1099"/>
      <c r="H42" s="1099"/>
      <c r="I42" s="1099"/>
      <c r="J42" s="1099">
        <f t="shared" si="40"/>
        <v>0</v>
      </c>
      <c r="K42" s="1019"/>
      <c r="L42" s="1099"/>
      <c r="M42" s="1099"/>
      <c r="N42" s="1099"/>
      <c r="O42" s="1099">
        <f>SUM(M42:N42)</f>
        <v>0</v>
      </c>
      <c r="P42" s="1019"/>
      <c r="Q42" s="1099">
        <v>92972000</v>
      </c>
      <c r="R42" s="1099">
        <v>92972000</v>
      </c>
      <c r="S42" s="1099"/>
      <c r="T42" s="1099">
        <v>72972040</v>
      </c>
      <c r="U42" s="1019">
        <v>46989166</v>
      </c>
      <c r="V42" s="1099"/>
      <c r="W42" s="1099"/>
      <c r="X42" s="1099"/>
      <c r="Y42" s="1099">
        <f>SUM(W42:X42)</f>
        <v>0</v>
      </c>
      <c r="Z42" s="1019"/>
      <c r="AA42" s="1099">
        <v>10000000</v>
      </c>
      <c r="AB42" s="1099">
        <v>10000000</v>
      </c>
      <c r="AC42" s="1099"/>
      <c r="AD42" s="1099">
        <f>SUM(AB42:AC42)</f>
        <v>10000000</v>
      </c>
      <c r="AE42" s="1019"/>
      <c r="AF42" s="1099"/>
      <c r="AG42" s="1099"/>
      <c r="AH42" s="1099"/>
      <c r="AI42" s="1099">
        <f t="shared" si="25"/>
        <v>0</v>
      </c>
      <c r="AJ42" s="1019"/>
      <c r="AK42" s="1099"/>
      <c r="AL42" s="1099"/>
      <c r="AM42" s="1099"/>
      <c r="AN42" s="1099">
        <f t="shared" si="26"/>
        <v>0</v>
      </c>
      <c r="AO42" s="1019">
        <f t="shared" si="27"/>
        <v>0</v>
      </c>
      <c r="AP42" s="1099"/>
      <c r="AQ42" s="1099"/>
      <c r="AR42" s="1099"/>
      <c r="AS42" s="1099">
        <f t="shared" si="28"/>
        <v>0</v>
      </c>
      <c r="AT42" s="1019">
        <f t="shared" si="29"/>
        <v>0</v>
      </c>
      <c r="AU42" s="1099"/>
      <c r="AV42" s="1099"/>
      <c r="AW42" s="1099"/>
      <c r="AX42" s="1099">
        <f t="shared" si="30"/>
        <v>0</v>
      </c>
      <c r="AY42" s="1019">
        <f t="shared" si="31"/>
        <v>0</v>
      </c>
      <c r="AZ42" s="1099"/>
      <c r="BA42" s="1094"/>
      <c r="BB42" s="1099"/>
      <c r="BC42" s="1099">
        <f t="shared" si="32"/>
        <v>0</v>
      </c>
      <c r="BD42" s="1019">
        <f t="shared" si="33"/>
        <v>0</v>
      </c>
      <c r="BE42" s="1099"/>
      <c r="BF42" s="1094"/>
      <c r="BG42" s="1099"/>
      <c r="BH42" s="1099">
        <f t="shared" si="34"/>
        <v>0</v>
      </c>
      <c r="BI42" s="1019">
        <f t="shared" si="35"/>
        <v>0</v>
      </c>
      <c r="BJ42" s="1007">
        <f t="shared" si="36"/>
        <v>112972000</v>
      </c>
      <c r="BK42" s="1007">
        <f t="shared" si="37"/>
        <v>112972000</v>
      </c>
      <c r="BL42" s="1007">
        <f t="shared" si="38"/>
        <v>0</v>
      </c>
      <c r="BM42" s="1013">
        <f t="shared" si="39"/>
        <v>92972040</v>
      </c>
      <c r="BN42" s="1013">
        <f t="shared" si="39"/>
        <v>51544166</v>
      </c>
      <c r="BO42" s="1090">
        <f>BJ42+'4 bba Önkorm '!DM41</f>
        <v>112972000</v>
      </c>
      <c r="BP42" s="1090">
        <f>BK42+'4 bba Önkorm '!DN41</f>
        <v>112972000</v>
      </c>
      <c r="BQ42" s="1090">
        <f>BL42+'4 bba Önkorm '!DO41</f>
        <v>0</v>
      </c>
      <c r="BR42" s="1013">
        <f>BM42+'4 bba Önkorm '!DP41</f>
        <v>92972040</v>
      </c>
      <c r="BS42" s="1013">
        <f>BN42+'4 bba Önkorm '!DQ41</f>
        <v>51544166</v>
      </c>
    </row>
    <row r="43" spans="1:71" ht="14.25" customHeight="1">
      <c r="A43" s="455" t="s">
        <v>720</v>
      </c>
      <c r="B43" s="432"/>
      <c r="C43" s="1099"/>
      <c r="D43" s="1099"/>
      <c r="E43" s="1099">
        <f t="shared" si="24"/>
        <v>0</v>
      </c>
      <c r="F43" s="1019"/>
      <c r="G43" s="1099">
        <v>5000000</v>
      </c>
      <c r="H43" s="1099">
        <v>5000000</v>
      </c>
      <c r="I43" s="1099"/>
      <c r="J43" s="1099">
        <f t="shared" si="40"/>
        <v>5000000</v>
      </c>
      <c r="K43" s="1019">
        <v>280000</v>
      </c>
      <c r="L43" s="1099"/>
      <c r="M43" s="1099"/>
      <c r="N43" s="1099"/>
      <c r="O43" s="1099">
        <f>SUM(M43:N43)</f>
        <v>0</v>
      </c>
      <c r="P43" s="1019"/>
      <c r="Q43" s="1099"/>
      <c r="R43" s="1099"/>
      <c r="S43" s="1099"/>
      <c r="T43" s="1099">
        <f>SUM(R43:S43)</f>
        <v>0</v>
      </c>
      <c r="U43" s="1019"/>
      <c r="V43" s="1099"/>
      <c r="W43" s="1099"/>
      <c r="X43" s="1099"/>
      <c r="Y43" s="1099">
        <f>SUM(W43:X43)</f>
        <v>0</v>
      </c>
      <c r="Z43" s="1019"/>
      <c r="AA43" s="1099">
        <v>4000000</v>
      </c>
      <c r="AB43" s="1099">
        <v>4000000</v>
      </c>
      <c r="AC43" s="1099"/>
      <c r="AD43" s="1099">
        <f>SUM(AB43:AC43)</f>
        <v>4000000</v>
      </c>
      <c r="AE43" s="1019">
        <v>800000</v>
      </c>
      <c r="AF43" s="1099"/>
      <c r="AG43" s="1099"/>
      <c r="AH43" s="1099"/>
      <c r="AI43" s="1099">
        <f t="shared" si="25"/>
        <v>0</v>
      </c>
      <c r="AJ43" s="1019"/>
      <c r="AK43" s="1099"/>
      <c r="AL43" s="1099"/>
      <c r="AM43" s="1099"/>
      <c r="AN43" s="1099">
        <f t="shared" si="26"/>
        <v>0</v>
      </c>
      <c r="AO43" s="1019">
        <f t="shared" si="27"/>
        <v>0</v>
      </c>
      <c r="AP43" s="1099"/>
      <c r="AQ43" s="1099"/>
      <c r="AR43" s="1099"/>
      <c r="AS43" s="1099">
        <f t="shared" si="28"/>
        <v>0</v>
      </c>
      <c r="AT43" s="1019">
        <f t="shared" si="29"/>
        <v>0</v>
      </c>
      <c r="AU43" s="1099"/>
      <c r="AV43" s="1099"/>
      <c r="AW43" s="1099"/>
      <c r="AX43" s="1099">
        <f t="shared" si="30"/>
        <v>0</v>
      </c>
      <c r="AY43" s="1019">
        <f t="shared" si="31"/>
        <v>0</v>
      </c>
      <c r="AZ43" s="1099"/>
      <c r="BA43" s="1094"/>
      <c r="BB43" s="1099"/>
      <c r="BC43" s="1099">
        <f t="shared" si="32"/>
        <v>0</v>
      </c>
      <c r="BD43" s="1019">
        <f t="shared" si="33"/>
        <v>0</v>
      </c>
      <c r="BE43" s="1099"/>
      <c r="BF43" s="1094"/>
      <c r="BG43" s="1099"/>
      <c r="BH43" s="1099">
        <f t="shared" si="34"/>
        <v>0</v>
      </c>
      <c r="BI43" s="1019">
        <f t="shared" si="35"/>
        <v>0</v>
      </c>
      <c r="BJ43" s="1007">
        <f t="shared" si="36"/>
        <v>9000000</v>
      </c>
      <c r="BK43" s="1007">
        <f t="shared" si="37"/>
        <v>9000000</v>
      </c>
      <c r="BL43" s="1007">
        <f t="shared" si="38"/>
        <v>0</v>
      </c>
      <c r="BM43" s="1013">
        <f t="shared" si="39"/>
        <v>9000000</v>
      </c>
      <c r="BN43" s="1013">
        <f t="shared" si="39"/>
        <v>1080000</v>
      </c>
      <c r="BO43" s="1090">
        <f>BJ43+'4 bba Önkorm '!DM42</f>
        <v>9000000</v>
      </c>
      <c r="BP43" s="1090">
        <f>BK43+'4 bba Önkorm '!DN42</f>
        <v>9000000</v>
      </c>
      <c r="BQ43" s="1090">
        <f>BL43+'4 bba Önkorm '!DO42</f>
        <v>0</v>
      </c>
      <c r="BR43" s="1013">
        <f>BM43+'4 bba Önkorm '!DP42</f>
        <v>9000000</v>
      </c>
      <c r="BS43" s="1013">
        <f>BN43+'4 bba Önkorm '!DQ42</f>
        <v>1080000</v>
      </c>
    </row>
    <row r="44" spans="1:71" ht="14.25" customHeight="1">
      <c r="A44" s="455" t="s">
        <v>721</v>
      </c>
      <c r="B44" s="432"/>
      <c r="C44" s="1099"/>
      <c r="D44" s="1099"/>
      <c r="E44" s="1099">
        <f t="shared" si="24"/>
        <v>0</v>
      </c>
      <c r="F44" s="1019"/>
      <c r="G44" s="1099"/>
      <c r="H44" s="1099"/>
      <c r="I44" s="1099"/>
      <c r="J44" s="1099">
        <f t="shared" si="40"/>
        <v>0</v>
      </c>
      <c r="K44" s="1019"/>
      <c r="L44" s="1099">
        <v>35000000</v>
      </c>
      <c r="M44" s="1099">
        <v>35000000</v>
      </c>
      <c r="N44" s="1099"/>
      <c r="O44" s="1099">
        <v>0</v>
      </c>
      <c r="P44" s="1019"/>
      <c r="Q44" s="1099"/>
      <c r="R44" s="1099"/>
      <c r="S44" s="1099"/>
      <c r="T44" s="1099">
        <f>SUM(R44:S44)</f>
        <v>0</v>
      </c>
      <c r="U44" s="1019"/>
      <c r="V44" s="1099"/>
      <c r="W44" s="1099"/>
      <c r="X44" s="1099"/>
      <c r="Y44" s="1099">
        <f>SUM(W44:X44)</f>
        <v>0</v>
      </c>
      <c r="Z44" s="1019"/>
      <c r="AA44" s="1099">
        <v>1000000</v>
      </c>
      <c r="AB44" s="1099">
        <v>1000000</v>
      </c>
      <c r="AC44" s="1099"/>
      <c r="AD44" s="1099">
        <f>SUM(AB44:AC44)</f>
        <v>1000000</v>
      </c>
      <c r="AE44" s="1019"/>
      <c r="AF44" s="1099"/>
      <c r="AG44" s="1099"/>
      <c r="AH44" s="1099"/>
      <c r="AI44" s="1099">
        <f t="shared" si="25"/>
        <v>0</v>
      </c>
      <c r="AJ44" s="1019"/>
      <c r="AK44" s="1099"/>
      <c r="AL44" s="1099"/>
      <c r="AM44" s="1099"/>
      <c r="AN44" s="1099">
        <f t="shared" si="26"/>
        <v>0</v>
      </c>
      <c r="AO44" s="1019">
        <f t="shared" si="27"/>
        <v>0</v>
      </c>
      <c r="AP44" s="1099"/>
      <c r="AQ44" s="1099"/>
      <c r="AR44" s="1099"/>
      <c r="AS44" s="1099">
        <f t="shared" si="28"/>
        <v>0</v>
      </c>
      <c r="AT44" s="1019">
        <f t="shared" si="29"/>
        <v>0</v>
      </c>
      <c r="AU44" s="1099"/>
      <c r="AV44" s="1099"/>
      <c r="AW44" s="1099"/>
      <c r="AX44" s="1099">
        <f t="shared" si="30"/>
        <v>0</v>
      </c>
      <c r="AY44" s="1019">
        <f t="shared" si="31"/>
        <v>0</v>
      </c>
      <c r="AZ44" s="1099"/>
      <c r="BA44" s="1094"/>
      <c r="BB44" s="1099"/>
      <c r="BC44" s="1099">
        <f t="shared" si="32"/>
        <v>0</v>
      </c>
      <c r="BD44" s="1019">
        <f t="shared" si="33"/>
        <v>0</v>
      </c>
      <c r="BE44" s="1099"/>
      <c r="BF44" s="1094"/>
      <c r="BG44" s="1099"/>
      <c r="BH44" s="1099">
        <f t="shared" si="34"/>
        <v>0</v>
      </c>
      <c r="BI44" s="1019">
        <f t="shared" si="35"/>
        <v>0</v>
      </c>
      <c r="BJ44" s="1007">
        <f t="shared" si="36"/>
        <v>36000000</v>
      </c>
      <c r="BK44" s="1007">
        <f t="shared" si="37"/>
        <v>36000000</v>
      </c>
      <c r="BL44" s="1007">
        <f t="shared" si="38"/>
        <v>0</v>
      </c>
      <c r="BM44" s="1013">
        <f t="shared" si="39"/>
        <v>1000000</v>
      </c>
      <c r="BN44" s="1013">
        <f t="shared" si="39"/>
        <v>0</v>
      </c>
      <c r="BO44" s="1090">
        <f>BJ44+'4 bba Önkorm '!DM43</f>
        <v>36000000</v>
      </c>
      <c r="BP44" s="1090">
        <f>BK44+'4 bba Önkorm '!DN43</f>
        <v>36000000</v>
      </c>
      <c r="BQ44" s="1090">
        <f>BL44+'4 bba Önkorm '!DO43</f>
        <v>0</v>
      </c>
      <c r="BR44" s="1013">
        <f>BM44+'4 bba Önkorm '!DP43</f>
        <v>1000000</v>
      </c>
      <c r="BS44" s="1013">
        <f>BN44+'4 bba Önkorm '!DQ43</f>
        <v>0</v>
      </c>
    </row>
    <row r="45" spans="1:71" ht="15" customHeight="1">
      <c r="A45" s="1055" t="s">
        <v>722</v>
      </c>
      <c r="B45" s="1198">
        <f t="shared" ref="B45:AG45" si="41">SUM(B36:B44)</f>
        <v>10254000</v>
      </c>
      <c r="C45" s="1198">
        <f t="shared" si="41"/>
        <v>10254000</v>
      </c>
      <c r="D45" s="1198">
        <f t="shared" si="41"/>
        <v>0</v>
      </c>
      <c r="E45" s="1198">
        <f t="shared" si="41"/>
        <v>10254000</v>
      </c>
      <c r="F45" s="1198">
        <f t="shared" si="41"/>
        <v>4555000</v>
      </c>
      <c r="G45" s="1198">
        <f t="shared" si="41"/>
        <v>130088000</v>
      </c>
      <c r="H45" s="1198">
        <f t="shared" si="41"/>
        <v>140502000</v>
      </c>
      <c r="I45" s="1198">
        <f t="shared" si="41"/>
        <v>16318300</v>
      </c>
      <c r="J45" s="1198">
        <f t="shared" si="41"/>
        <v>138093900</v>
      </c>
      <c r="K45" s="1198">
        <f t="shared" si="41"/>
        <v>77031513</v>
      </c>
      <c r="L45" s="1198">
        <f t="shared" si="41"/>
        <v>41350000</v>
      </c>
      <c r="M45" s="1198">
        <f t="shared" si="41"/>
        <v>45350000</v>
      </c>
      <c r="N45" s="1198">
        <f t="shared" si="41"/>
        <v>1200000</v>
      </c>
      <c r="O45" s="1198">
        <f t="shared" si="41"/>
        <v>50304140</v>
      </c>
      <c r="P45" s="1198">
        <f t="shared" si="41"/>
        <v>50304140</v>
      </c>
      <c r="Q45" s="1198">
        <f t="shared" si="41"/>
        <v>2663147000</v>
      </c>
      <c r="R45" s="1198">
        <f t="shared" si="41"/>
        <v>2788453490</v>
      </c>
      <c r="S45" s="1198">
        <f t="shared" si="41"/>
        <v>44247769</v>
      </c>
      <c r="T45" s="1198">
        <f t="shared" si="41"/>
        <v>2589122025</v>
      </c>
      <c r="U45" s="1198">
        <f t="shared" si="41"/>
        <v>1766754764</v>
      </c>
      <c r="V45" s="1198">
        <f t="shared" si="41"/>
        <v>8890000</v>
      </c>
      <c r="W45" s="1198">
        <f t="shared" si="41"/>
        <v>8890000</v>
      </c>
      <c r="X45" s="1198">
        <f t="shared" si="41"/>
        <v>0</v>
      </c>
      <c r="Y45" s="1198">
        <f t="shared" si="41"/>
        <v>12556240</v>
      </c>
      <c r="Z45" s="1198">
        <f t="shared" si="41"/>
        <v>12353040</v>
      </c>
      <c r="AA45" s="1198">
        <f t="shared" si="41"/>
        <v>38500000</v>
      </c>
      <c r="AB45" s="1198">
        <f t="shared" si="41"/>
        <v>58500000</v>
      </c>
      <c r="AC45" s="1198">
        <f t="shared" si="41"/>
        <v>0</v>
      </c>
      <c r="AD45" s="1198">
        <f t="shared" si="41"/>
        <v>59650000</v>
      </c>
      <c r="AE45" s="1198">
        <f t="shared" si="41"/>
        <v>5120000</v>
      </c>
      <c r="AF45" s="1198">
        <f t="shared" si="41"/>
        <v>0</v>
      </c>
      <c r="AG45" s="1198">
        <f t="shared" si="41"/>
        <v>0</v>
      </c>
      <c r="AH45" s="1198">
        <f t="shared" ref="AH45:BN45" si="42">SUM(AH36:AH44)</f>
        <v>0</v>
      </c>
      <c r="AI45" s="1198">
        <f t="shared" si="42"/>
        <v>0</v>
      </c>
      <c r="AJ45" s="1198">
        <f t="shared" si="42"/>
        <v>0</v>
      </c>
      <c r="AK45" s="1198">
        <f t="shared" si="42"/>
        <v>0</v>
      </c>
      <c r="AL45" s="1198">
        <f t="shared" si="42"/>
        <v>0</v>
      </c>
      <c r="AM45" s="1198">
        <f t="shared" si="42"/>
        <v>0</v>
      </c>
      <c r="AN45" s="1198">
        <f t="shared" si="42"/>
        <v>0</v>
      </c>
      <c r="AO45" s="1198">
        <f t="shared" si="42"/>
        <v>0</v>
      </c>
      <c r="AP45" s="1198">
        <f t="shared" si="42"/>
        <v>0</v>
      </c>
      <c r="AQ45" s="1198">
        <f t="shared" si="42"/>
        <v>0</v>
      </c>
      <c r="AR45" s="1198">
        <f t="shared" si="42"/>
        <v>0</v>
      </c>
      <c r="AS45" s="1198">
        <f t="shared" si="42"/>
        <v>0</v>
      </c>
      <c r="AT45" s="1198">
        <f t="shared" si="42"/>
        <v>0</v>
      </c>
      <c r="AU45" s="1198">
        <f t="shared" si="42"/>
        <v>0</v>
      </c>
      <c r="AV45" s="1198">
        <f t="shared" si="42"/>
        <v>0</v>
      </c>
      <c r="AW45" s="1198">
        <f t="shared" si="42"/>
        <v>0</v>
      </c>
      <c r="AX45" s="1198">
        <f t="shared" si="42"/>
        <v>0</v>
      </c>
      <c r="AY45" s="1198">
        <f t="shared" si="42"/>
        <v>0</v>
      </c>
      <c r="AZ45" s="1198">
        <f t="shared" si="42"/>
        <v>0</v>
      </c>
      <c r="BA45" s="1198">
        <f t="shared" si="42"/>
        <v>0</v>
      </c>
      <c r="BB45" s="1198">
        <f t="shared" si="42"/>
        <v>0</v>
      </c>
      <c r="BC45" s="1198">
        <f t="shared" si="42"/>
        <v>0</v>
      </c>
      <c r="BD45" s="1198">
        <f t="shared" si="42"/>
        <v>0</v>
      </c>
      <c r="BE45" s="1198">
        <f t="shared" si="42"/>
        <v>0</v>
      </c>
      <c r="BF45" s="1198">
        <f t="shared" si="42"/>
        <v>0</v>
      </c>
      <c r="BG45" s="1198">
        <f t="shared" si="42"/>
        <v>0</v>
      </c>
      <c r="BH45" s="1198">
        <f t="shared" si="42"/>
        <v>0</v>
      </c>
      <c r="BI45" s="1198">
        <f t="shared" si="42"/>
        <v>0</v>
      </c>
      <c r="BJ45" s="1023">
        <f t="shared" si="42"/>
        <v>2892229000</v>
      </c>
      <c r="BK45" s="1023">
        <f t="shared" si="42"/>
        <v>3051949490</v>
      </c>
      <c r="BL45" s="1023">
        <f t="shared" si="42"/>
        <v>61766069</v>
      </c>
      <c r="BM45" s="1023">
        <f t="shared" si="42"/>
        <v>2859980305</v>
      </c>
      <c r="BN45" s="1023">
        <f t="shared" si="42"/>
        <v>1916118457</v>
      </c>
      <c r="BO45" s="1023">
        <f>SUM(BO36:BO44)</f>
        <v>3005992000</v>
      </c>
      <c r="BP45" s="1023">
        <f>SUM(BP36:BP44)</f>
        <v>3166381780</v>
      </c>
      <c r="BQ45" s="1023">
        <f>SUM(BQ36:BQ44)</f>
        <v>61766069</v>
      </c>
      <c r="BR45" s="1023">
        <f>SUM(BR36:BR44)</f>
        <v>3018800095</v>
      </c>
      <c r="BS45" s="1023">
        <f>SUM(BS36:BS44)</f>
        <v>2056669805</v>
      </c>
    </row>
    <row r="46" spans="1:71" ht="15" customHeight="1">
      <c r="A46" s="1054" t="s">
        <v>723</v>
      </c>
      <c r="B46" s="1023">
        <f t="shared" ref="B46:AG46" si="43">B45+B35</f>
        <v>67843000</v>
      </c>
      <c r="C46" s="1023">
        <f t="shared" si="43"/>
        <v>62498100</v>
      </c>
      <c r="D46" s="1023">
        <f t="shared" si="43"/>
        <v>225005</v>
      </c>
      <c r="E46" s="1023">
        <f t="shared" si="43"/>
        <v>62738105</v>
      </c>
      <c r="F46" s="1023">
        <f t="shared" si="43"/>
        <v>53098115</v>
      </c>
      <c r="G46" s="1023">
        <f t="shared" si="43"/>
        <v>161037000</v>
      </c>
      <c r="H46" s="1023">
        <f t="shared" si="43"/>
        <v>198311500</v>
      </c>
      <c r="I46" s="1023">
        <f t="shared" si="43"/>
        <v>15950000</v>
      </c>
      <c r="J46" s="1023">
        <f t="shared" si="43"/>
        <v>222516500</v>
      </c>
      <c r="K46" s="1023">
        <f t="shared" si="43"/>
        <v>104791543</v>
      </c>
      <c r="L46" s="1023">
        <f t="shared" si="43"/>
        <v>239808000</v>
      </c>
      <c r="M46" s="1023">
        <f t="shared" si="43"/>
        <v>251114080</v>
      </c>
      <c r="N46" s="1023">
        <f t="shared" si="43"/>
        <v>-925916</v>
      </c>
      <c r="O46" s="1023">
        <f t="shared" si="43"/>
        <v>269354905</v>
      </c>
      <c r="P46" s="1023">
        <f t="shared" si="43"/>
        <v>219788335</v>
      </c>
      <c r="Q46" s="1023">
        <f t="shared" si="43"/>
        <v>2903834000</v>
      </c>
      <c r="R46" s="1023">
        <f t="shared" si="43"/>
        <v>3083903469</v>
      </c>
      <c r="S46" s="1023">
        <f t="shared" si="43"/>
        <v>44247769</v>
      </c>
      <c r="T46" s="1023">
        <f t="shared" si="43"/>
        <v>3174092069</v>
      </c>
      <c r="U46" s="1023">
        <f t="shared" si="43"/>
        <v>2085036950</v>
      </c>
      <c r="V46" s="1023">
        <f t="shared" si="43"/>
        <v>65902000</v>
      </c>
      <c r="W46" s="1023">
        <f t="shared" si="43"/>
        <v>78874000</v>
      </c>
      <c r="X46" s="1023">
        <f t="shared" si="43"/>
        <v>0</v>
      </c>
      <c r="Y46" s="1023">
        <f t="shared" si="43"/>
        <v>78874000</v>
      </c>
      <c r="Z46" s="1023">
        <f t="shared" si="43"/>
        <v>69891484</v>
      </c>
      <c r="AA46" s="1023">
        <f t="shared" si="43"/>
        <v>724698000</v>
      </c>
      <c r="AB46" s="1023">
        <f t="shared" si="43"/>
        <v>738024801</v>
      </c>
      <c r="AC46" s="1023">
        <f t="shared" si="43"/>
        <v>-10433319</v>
      </c>
      <c r="AD46" s="1023">
        <f t="shared" si="43"/>
        <v>711525115</v>
      </c>
      <c r="AE46" s="1023">
        <f t="shared" si="43"/>
        <v>516351176</v>
      </c>
      <c r="AF46" s="1023">
        <f t="shared" si="43"/>
        <v>407668200</v>
      </c>
      <c r="AG46" s="1023">
        <f t="shared" si="43"/>
        <v>1256093289</v>
      </c>
      <c r="AH46" s="1023">
        <f t="shared" ref="AH46:BN46" si="44">AH45+AH35</f>
        <v>190721198</v>
      </c>
      <c r="AI46" s="1023">
        <f t="shared" si="44"/>
        <v>1982995604</v>
      </c>
      <c r="AJ46" s="1023">
        <f t="shared" si="44"/>
        <v>215646302</v>
      </c>
      <c r="AK46" s="1023">
        <f t="shared" si="44"/>
        <v>0</v>
      </c>
      <c r="AL46" s="1023">
        <f t="shared" si="44"/>
        <v>0</v>
      </c>
      <c r="AM46" s="1023">
        <f t="shared" si="44"/>
        <v>0</v>
      </c>
      <c r="AN46" s="1023">
        <f t="shared" si="44"/>
        <v>0</v>
      </c>
      <c r="AO46" s="1023">
        <f t="shared" si="44"/>
        <v>0</v>
      </c>
      <c r="AP46" s="1023">
        <f t="shared" si="44"/>
        <v>0</v>
      </c>
      <c r="AQ46" s="1023">
        <f t="shared" si="44"/>
        <v>0</v>
      </c>
      <c r="AR46" s="1023">
        <f t="shared" si="44"/>
        <v>0</v>
      </c>
      <c r="AS46" s="1023">
        <f t="shared" si="44"/>
        <v>0</v>
      </c>
      <c r="AT46" s="1023">
        <f t="shared" si="44"/>
        <v>0</v>
      </c>
      <c r="AU46" s="1023">
        <f t="shared" si="44"/>
        <v>0</v>
      </c>
      <c r="AV46" s="1023">
        <f t="shared" si="44"/>
        <v>0</v>
      </c>
      <c r="AW46" s="1023">
        <f t="shared" si="44"/>
        <v>0</v>
      </c>
      <c r="AX46" s="1023">
        <f t="shared" si="44"/>
        <v>0</v>
      </c>
      <c r="AY46" s="1023">
        <f t="shared" si="44"/>
        <v>0</v>
      </c>
      <c r="AZ46" s="1023">
        <f t="shared" si="44"/>
        <v>0</v>
      </c>
      <c r="BA46" s="1023">
        <f t="shared" si="44"/>
        <v>0</v>
      </c>
      <c r="BB46" s="1023">
        <f t="shared" si="44"/>
        <v>0</v>
      </c>
      <c r="BC46" s="1023">
        <f t="shared" si="44"/>
        <v>0</v>
      </c>
      <c r="BD46" s="1023">
        <f t="shared" si="44"/>
        <v>0</v>
      </c>
      <c r="BE46" s="1023">
        <f t="shared" si="44"/>
        <v>0</v>
      </c>
      <c r="BF46" s="1023">
        <f t="shared" si="44"/>
        <v>0</v>
      </c>
      <c r="BG46" s="1023">
        <f t="shared" si="44"/>
        <v>0</v>
      </c>
      <c r="BH46" s="1023">
        <f t="shared" si="44"/>
        <v>0</v>
      </c>
      <c r="BI46" s="1023">
        <f t="shared" si="44"/>
        <v>0</v>
      </c>
      <c r="BJ46" s="1023">
        <f t="shared" si="44"/>
        <v>4570790200</v>
      </c>
      <c r="BK46" s="1023">
        <f t="shared" si="44"/>
        <v>5668819239</v>
      </c>
      <c r="BL46" s="1023">
        <f t="shared" si="44"/>
        <v>239784737</v>
      </c>
      <c r="BM46" s="1023">
        <f t="shared" si="44"/>
        <v>6502096298</v>
      </c>
      <c r="BN46" s="1023">
        <f t="shared" si="44"/>
        <v>3264603905</v>
      </c>
      <c r="BO46" s="1023">
        <f>BO45+BO35</f>
        <v>6461312200</v>
      </c>
      <c r="BP46" s="1023">
        <f>BP45+BP35</f>
        <v>7641713377</v>
      </c>
      <c r="BQ46" s="1023">
        <f>BQ45+BQ35</f>
        <v>241244059</v>
      </c>
      <c r="BR46" s="1023">
        <f>BR45+BR35</f>
        <v>8566115981</v>
      </c>
      <c r="BS46" s="1023">
        <f>BS45+BS35</f>
        <v>5048492071</v>
      </c>
    </row>
    <row r="47" spans="1:71" ht="15" hidden="1" customHeight="1">
      <c r="A47" s="405" t="s">
        <v>724</v>
      </c>
      <c r="B47" s="321"/>
      <c r="C47" s="1099"/>
      <c r="D47" s="1099"/>
      <c r="E47" s="1099">
        <f t="shared" ref="E47:E59" si="45">SUM(C47:D47)</f>
        <v>0</v>
      </c>
      <c r="F47" s="1099"/>
      <c r="G47" s="1099"/>
      <c r="H47" s="1099"/>
      <c r="I47" s="1099"/>
      <c r="J47" s="1099">
        <f t="shared" ref="J47:J59" si="46">SUM(H47:I47)</f>
        <v>0</v>
      </c>
      <c r="K47" s="1099"/>
      <c r="L47" s="1099"/>
      <c r="M47" s="1099"/>
      <c r="N47" s="1099"/>
      <c r="O47" s="1099">
        <f t="shared" ref="O47:O59" si="47">SUM(M47:N47)</f>
        <v>0</v>
      </c>
      <c r="P47" s="1099"/>
      <c r="Q47" s="1099"/>
      <c r="R47" s="1099"/>
      <c r="S47" s="1099"/>
      <c r="T47" s="1099">
        <f t="shared" ref="T47:T59" si="48">SUM(R47:S47)</f>
        <v>0</v>
      </c>
      <c r="U47" s="1099"/>
      <c r="V47" s="1099"/>
      <c r="W47" s="1099"/>
      <c r="X47" s="1099"/>
      <c r="Y47" s="1099">
        <f t="shared" ref="Y47:Y59" si="49">SUM(W47:X47)</f>
        <v>0</v>
      </c>
      <c r="Z47" s="1099"/>
      <c r="AA47" s="1099"/>
      <c r="AB47" s="1099"/>
      <c r="AC47" s="1099"/>
      <c r="AD47" s="1099">
        <f t="shared" ref="AD47:AD59" si="50">SUM(AB47:AC47)</f>
        <v>0</v>
      </c>
      <c r="AE47" s="1099"/>
      <c r="AF47" s="1099"/>
      <c r="AG47" s="1099"/>
      <c r="AH47" s="1099"/>
      <c r="AI47" s="1099">
        <f>SUM(AG47:AH47)</f>
        <v>0</v>
      </c>
      <c r="AJ47" s="1099"/>
      <c r="AK47" s="1099"/>
      <c r="AL47" s="1099"/>
      <c r="AM47" s="1099"/>
      <c r="AN47" s="1099">
        <f t="shared" ref="AN47:AN55" si="51">SUM(AL47:AM47)</f>
        <v>0</v>
      </c>
      <c r="AO47" s="1099"/>
      <c r="AP47" s="1099"/>
      <c r="AQ47" s="1099"/>
      <c r="AR47" s="1099"/>
      <c r="AS47" s="1099">
        <f t="shared" ref="AS47:AS59" si="52">SUM(AQ47:AR47)</f>
        <v>0</v>
      </c>
      <c r="AT47" s="1099"/>
      <c r="AU47" s="1099"/>
      <c r="AV47" s="1099"/>
      <c r="AW47" s="1099"/>
      <c r="AX47" s="1099">
        <f t="shared" ref="AX47:AX59" si="53">SUM(AV47:AW47)</f>
        <v>0</v>
      </c>
      <c r="AY47" s="1099"/>
      <c r="AZ47" s="1099"/>
      <c r="BA47" s="1094"/>
      <c r="BB47" s="1099"/>
      <c r="BC47" s="1099">
        <f t="shared" ref="BC47:BC59" si="54">SUM(BA47+BB47)</f>
        <v>0</v>
      </c>
      <c r="BD47" s="1099"/>
      <c r="BE47" s="1099"/>
      <c r="BF47" s="1094"/>
      <c r="BG47" s="1099"/>
      <c r="BH47" s="1099">
        <f t="shared" ref="BH47:BH59" si="55">SUM(BF47+BG47)</f>
        <v>0</v>
      </c>
      <c r="BI47" s="1099"/>
      <c r="BJ47" s="1013"/>
      <c r="BK47" s="1007">
        <v>0</v>
      </c>
      <c r="BL47" s="1007">
        <v>0</v>
      </c>
      <c r="BM47" s="1013">
        <f>SUM(BK47+BL47)</f>
        <v>0</v>
      </c>
      <c r="BN47" s="1102"/>
      <c r="BO47" s="1013"/>
      <c r="BP47" s="1090">
        <f>M47+BF47</f>
        <v>0</v>
      </c>
      <c r="BQ47" s="1090">
        <f>N47+BG47</f>
        <v>0</v>
      </c>
      <c r="BR47" s="1013">
        <f>SUM(BP47:BQ47)</f>
        <v>0</v>
      </c>
      <c r="BS47" s="1102"/>
    </row>
    <row r="48" spans="1:71" ht="15" hidden="1" customHeight="1">
      <c r="A48" s="405" t="s">
        <v>725</v>
      </c>
      <c r="B48" s="321"/>
      <c r="C48" s="1099"/>
      <c r="D48" s="1099"/>
      <c r="E48" s="1099">
        <f t="shared" si="45"/>
        <v>0</v>
      </c>
      <c r="F48" s="1099"/>
      <c r="G48" s="1099"/>
      <c r="H48" s="1099"/>
      <c r="I48" s="1099"/>
      <c r="J48" s="1099">
        <f t="shared" si="46"/>
        <v>0</v>
      </c>
      <c r="K48" s="1099"/>
      <c r="L48" s="1099"/>
      <c r="M48" s="1099"/>
      <c r="N48" s="1099"/>
      <c r="O48" s="1099">
        <f t="shared" si="47"/>
        <v>0</v>
      </c>
      <c r="P48" s="1099"/>
      <c r="Q48" s="1099"/>
      <c r="R48" s="1099"/>
      <c r="S48" s="1099"/>
      <c r="T48" s="1099">
        <f t="shared" si="48"/>
        <v>0</v>
      </c>
      <c r="U48" s="1099"/>
      <c r="V48" s="1099"/>
      <c r="W48" s="1099"/>
      <c r="X48" s="1099"/>
      <c r="Y48" s="1099">
        <f t="shared" si="49"/>
        <v>0</v>
      </c>
      <c r="Z48" s="1099"/>
      <c r="AA48" s="1099"/>
      <c r="AB48" s="1099"/>
      <c r="AC48" s="1099"/>
      <c r="AD48" s="1099">
        <f t="shared" si="50"/>
        <v>0</v>
      </c>
      <c r="AE48" s="1099"/>
      <c r="AF48" s="1099"/>
      <c r="AG48" s="1099"/>
      <c r="AH48" s="1099"/>
      <c r="AI48" s="1099">
        <f>SUM(AG48:AH48)</f>
        <v>0</v>
      </c>
      <c r="AJ48" s="1099"/>
      <c r="AK48" s="1099"/>
      <c r="AL48" s="1099"/>
      <c r="AM48" s="1099"/>
      <c r="AN48" s="1099">
        <f t="shared" si="51"/>
        <v>0</v>
      </c>
      <c r="AO48" s="1099"/>
      <c r="AP48" s="1099"/>
      <c r="AQ48" s="1099"/>
      <c r="AR48" s="1099"/>
      <c r="AS48" s="1099">
        <f t="shared" si="52"/>
        <v>0</v>
      </c>
      <c r="AT48" s="1099"/>
      <c r="AU48" s="1099"/>
      <c r="AV48" s="1099"/>
      <c r="AW48" s="1099"/>
      <c r="AX48" s="1099">
        <f t="shared" si="53"/>
        <v>0</v>
      </c>
      <c r="AY48" s="1099"/>
      <c r="AZ48" s="1099"/>
      <c r="BA48" s="1094"/>
      <c r="BB48" s="1099"/>
      <c r="BC48" s="1099">
        <f t="shared" si="54"/>
        <v>0</v>
      </c>
      <c r="BD48" s="1099"/>
      <c r="BE48" s="1099"/>
      <c r="BF48" s="1094"/>
      <c r="BG48" s="1099"/>
      <c r="BH48" s="1099">
        <f t="shared" si="55"/>
        <v>0</v>
      </c>
      <c r="BI48" s="1099"/>
      <c r="BJ48" s="1013"/>
      <c r="BK48" s="1007">
        <f t="shared" ref="BK48:BK58" si="56">SUM(C48+H48+M48+R48+W48+AB48+AG48+AL48+AQ48+AV48+BA48+BF48)</f>
        <v>0</v>
      </c>
      <c r="BL48" s="1007">
        <f t="shared" ref="BL48:BL58" si="57">SUM(D48+I48+N48+S48+X48+AC48+AH48+AM48+AR48+AW48+BB48+BG48)</f>
        <v>0</v>
      </c>
      <c r="BM48" s="1013">
        <f>SUM(BK48+BL48)</f>
        <v>0</v>
      </c>
      <c r="BN48" s="1102"/>
      <c r="BO48" s="1013"/>
      <c r="BP48" s="1090">
        <f>M48+BF48</f>
        <v>0</v>
      </c>
      <c r="BQ48" s="1090">
        <f>N48+BG48</f>
        <v>0</v>
      </c>
      <c r="BR48" s="1013">
        <f>SUM(BP48:BQ48)</f>
        <v>0</v>
      </c>
      <c r="BS48" s="1102"/>
    </row>
    <row r="49" spans="1:71" ht="15" customHeight="1">
      <c r="A49" s="405" t="s">
        <v>726</v>
      </c>
      <c r="B49" s="321"/>
      <c r="C49" s="1099"/>
      <c r="D49" s="1099"/>
      <c r="E49" s="1099">
        <f t="shared" si="45"/>
        <v>0</v>
      </c>
      <c r="F49" s="1019"/>
      <c r="G49" s="1099"/>
      <c r="H49" s="1099"/>
      <c r="I49" s="1099"/>
      <c r="J49" s="1099">
        <f t="shared" si="46"/>
        <v>0</v>
      </c>
      <c r="K49" s="1019"/>
      <c r="L49" s="1099"/>
      <c r="M49" s="1099"/>
      <c r="N49" s="1099"/>
      <c r="O49" s="1099">
        <f t="shared" si="47"/>
        <v>0</v>
      </c>
      <c r="P49" s="1019"/>
      <c r="Q49" s="1099"/>
      <c r="R49" s="1099"/>
      <c r="S49" s="1099"/>
      <c r="T49" s="1099">
        <f t="shared" si="48"/>
        <v>0</v>
      </c>
      <c r="U49" s="1019"/>
      <c r="V49" s="1099"/>
      <c r="W49" s="1099"/>
      <c r="X49" s="1099"/>
      <c r="Y49" s="1099">
        <f t="shared" si="49"/>
        <v>0</v>
      </c>
      <c r="Z49" s="1019"/>
      <c r="AA49" s="1099"/>
      <c r="AB49" s="1099"/>
      <c r="AC49" s="1099"/>
      <c r="AD49" s="1099">
        <f t="shared" si="50"/>
        <v>0</v>
      </c>
      <c r="AE49" s="1019"/>
      <c r="AF49" s="1099"/>
      <c r="AG49" s="1099"/>
      <c r="AH49" s="1099"/>
      <c r="AI49" s="1099">
        <f>SUM(AG49:AH49)</f>
        <v>0</v>
      </c>
      <c r="AJ49" s="1019"/>
      <c r="AK49" s="1099"/>
      <c r="AL49" s="1099"/>
      <c r="AM49" s="1099"/>
      <c r="AN49" s="1099">
        <f t="shared" si="51"/>
        <v>0</v>
      </c>
      <c r="AO49" s="1019">
        <f t="shared" ref="AO49:AO57" si="58">AL49-AK49</f>
        <v>0</v>
      </c>
      <c r="AP49" s="1099"/>
      <c r="AQ49" s="1099"/>
      <c r="AR49" s="1099"/>
      <c r="AS49" s="1099">
        <f t="shared" si="52"/>
        <v>0</v>
      </c>
      <c r="AT49" s="1019">
        <f t="shared" ref="AT49:AT58" si="59">AQ49-AP49</f>
        <v>0</v>
      </c>
      <c r="AU49" s="1099"/>
      <c r="AV49" s="1099"/>
      <c r="AW49" s="1099"/>
      <c r="AX49" s="1099">
        <f t="shared" si="53"/>
        <v>0</v>
      </c>
      <c r="AY49" s="1019">
        <f t="shared" ref="AY49:AY58" si="60">AV49-AU49</f>
        <v>0</v>
      </c>
      <c r="AZ49" s="1099"/>
      <c r="BA49" s="1094"/>
      <c r="BB49" s="1099"/>
      <c r="BC49" s="1099">
        <f t="shared" si="54"/>
        <v>0</v>
      </c>
      <c r="BD49" s="1019">
        <f t="shared" ref="BD49:BD58" si="61">BA49-AZ49</f>
        <v>0</v>
      </c>
      <c r="BE49" s="1099"/>
      <c r="BF49" s="1094"/>
      <c r="BG49" s="1099"/>
      <c r="BH49" s="1099">
        <f t="shared" si="55"/>
        <v>0</v>
      </c>
      <c r="BI49" s="1019">
        <f t="shared" ref="BI49:BI58" si="62">BF49-BE49</f>
        <v>0</v>
      </c>
      <c r="BJ49" s="1007">
        <f t="shared" ref="BJ49:BJ59" si="63">SUM(B49+G49+L49+Q49+V49+AA49+AF49+AK49+AP49+AU49+AZ49+BE49)</f>
        <v>0</v>
      </c>
      <c r="BK49" s="1007">
        <f t="shared" si="56"/>
        <v>0</v>
      </c>
      <c r="BL49" s="1007">
        <f t="shared" si="57"/>
        <v>0</v>
      </c>
      <c r="BM49" s="1013">
        <f t="shared" ref="BM49:BN58" si="64">SUM(E49+J49+O49+T49+Y49+AD49+AI49+AN49+AS49+AX49+BC49+BH49)</f>
        <v>0</v>
      </c>
      <c r="BN49" s="1013">
        <f t="shared" si="64"/>
        <v>0</v>
      </c>
      <c r="BO49" s="1090">
        <f>BJ49+'4 bba Önkorm '!DM48</f>
        <v>0</v>
      </c>
      <c r="BP49" s="1090">
        <f>BK49+'4 bba Önkorm '!DN48</f>
        <v>0</v>
      </c>
      <c r="BQ49" s="1090">
        <f>BL49+'4 bba Önkorm '!DO48</f>
        <v>0</v>
      </c>
      <c r="BR49" s="1013">
        <f>BM49+'4 bba Önkorm '!DP48</f>
        <v>0</v>
      </c>
      <c r="BS49" s="1013">
        <f>BN49+'4 bba Önkorm '!DQ48</f>
        <v>0</v>
      </c>
    </row>
    <row r="50" spans="1:71" ht="15" customHeight="1">
      <c r="A50" s="405" t="s">
        <v>727</v>
      </c>
      <c r="B50" s="321"/>
      <c r="C50" s="1099"/>
      <c r="D50" s="1099"/>
      <c r="E50" s="1099">
        <f t="shared" si="45"/>
        <v>0</v>
      </c>
      <c r="F50" s="1019"/>
      <c r="G50" s="1099"/>
      <c r="H50" s="1099"/>
      <c r="I50" s="1099"/>
      <c r="J50" s="1099">
        <f t="shared" si="46"/>
        <v>0</v>
      </c>
      <c r="K50" s="1019"/>
      <c r="L50" s="1099"/>
      <c r="M50" s="1099"/>
      <c r="N50" s="1099"/>
      <c r="O50" s="1099">
        <f t="shared" si="47"/>
        <v>0</v>
      </c>
      <c r="P50" s="1019"/>
      <c r="Q50" s="1099"/>
      <c r="R50" s="1099"/>
      <c r="S50" s="1099"/>
      <c r="T50" s="1099">
        <f t="shared" si="48"/>
        <v>0</v>
      </c>
      <c r="U50" s="1019"/>
      <c r="V50" s="1099"/>
      <c r="W50" s="1099"/>
      <c r="X50" s="1099"/>
      <c r="Y50" s="1099">
        <f t="shared" si="49"/>
        <v>0</v>
      </c>
      <c r="Z50" s="1019"/>
      <c r="AA50" s="1099"/>
      <c r="AB50" s="1099"/>
      <c r="AC50" s="1099"/>
      <c r="AD50" s="1099">
        <f t="shared" si="50"/>
        <v>0</v>
      </c>
      <c r="AE50" s="1019"/>
      <c r="AF50" s="1099"/>
      <c r="AG50" s="1099"/>
      <c r="AH50" s="1099"/>
      <c r="AI50" s="1099">
        <f>SUM(AG50:AH50)</f>
        <v>0</v>
      </c>
      <c r="AJ50" s="1019"/>
      <c r="AK50" s="1099"/>
      <c r="AL50" s="1099"/>
      <c r="AM50" s="1099"/>
      <c r="AN50" s="1099">
        <f t="shared" si="51"/>
        <v>0</v>
      </c>
      <c r="AO50" s="1019">
        <f t="shared" si="58"/>
        <v>0</v>
      </c>
      <c r="AP50" s="1099"/>
      <c r="AQ50" s="1099"/>
      <c r="AR50" s="1099"/>
      <c r="AS50" s="1099">
        <f t="shared" si="52"/>
        <v>0</v>
      </c>
      <c r="AT50" s="1019">
        <f t="shared" si="59"/>
        <v>0</v>
      </c>
      <c r="AU50" s="1099"/>
      <c r="AV50" s="1099"/>
      <c r="AW50" s="1099"/>
      <c r="AX50" s="1099">
        <f t="shared" si="53"/>
        <v>0</v>
      </c>
      <c r="AY50" s="1019">
        <f t="shared" si="60"/>
        <v>0</v>
      </c>
      <c r="AZ50" s="1099"/>
      <c r="BA50" s="1094"/>
      <c r="BB50" s="1099"/>
      <c r="BC50" s="1099">
        <f t="shared" si="54"/>
        <v>0</v>
      </c>
      <c r="BD50" s="1019">
        <f t="shared" si="61"/>
        <v>0</v>
      </c>
      <c r="BE50" s="1099"/>
      <c r="BF50" s="1094"/>
      <c r="BG50" s="1099"/>
      <c r="BH50" s="1099">
        <f t="shared" si="55"/>
        <v>0</v>
      </c>
      <c r="BI50" s="1019">
        <f t="shared" si="62"/>
        <v>0</v>
      </c>
      <c r="BJ50" s="1007">
        <f t="shared" si="63"/>
        <v>0</v>
      </c>
      <c r="BK50" s="1007">
        <f t="shared" si="56"/>
        <v>0</v>
      </c>
      <c r="BL50" s="1007">
        <f t="shared" si="57"/>
        <v>0</v>
      </c>
      <c r="BM50" s="1013">
        <f t="shared" si="64"/>
        <v>0</v>
      </c>
      <c r="BN50" s="1013">
        <f t="shared" si="64"/>
        <v>0</v>
      </c>
      <c r="BO50" s="1090">
        <f>BJ50+'4 bba Önkorm '!DM49</f>
        <v>0</v>
      </c>
      <c r="BP50" s="1090">
        <f>BK50+'4 bba Önkorm '!DN49</f>
        <v>0</v>
      </c>
      <c r="BQ50" s="1090">
        <f>BL50+'4 bba Önkorm '!DO49</f>
        <v>0</v>
      </c>
      <c r="BR50" s="1013">
        <f>BM50+'4 bba Önkorm '!DP49</f>
        <v>0</v>
      </c>
      <c r="BS50" s="1013">
        <f>BN50+'4 bba Önkorm '!DQ49</f>
        <v>0</v>
      </c>
    </row>
    <row r="51" spans="1:71" ht="15" hidden="1" customHeight="1">
      <c r="A51" s="405" t="s">
        <v>728</v>
      </c>
      <c r="B51" s="321"/>
      <c r="C51" s="1099"/>
      <c r="D51" s="1099"/>
      <c r="E51" s="1099">
        <f t="shared" si="45"/>
        <v>0</v>
      </c>
      <c r="F51" s="1019"/>
      <c r="G51" s="1099"/>
      <c r="H51" s="1099"/>
      <c r="I51" s="1099"/>
      <c r="J51" s="1099">
        <f t="shared" si="46"/>
        <v>0</v>
      </c>
      <c r="K51" s="1019"/>
      <c r="L51" s="1099"/>
      <c r="M51" s="1099"/>
      <c r="N51" s="1099"/>
      <c r="O51" s="1099">
        <f t="shared" si="47"/>
        <v>0</v>
      </c>
      <c r="P51" s="1019"/>
      <c r="Q51" s="1099"/>
      <c r="R51" s="1099"/>
      <c r="S51" s="1099"/>
      <c r="T51" s="1099">
        <f t="shared" si="48"/>
        <v>0</v>
      </c>
      <c r="U51" s="1019"/>
      <c r="V51" s="1099"/>
      <c r="W51" s="1099"/>
      <c r="X51" s="1099"/>
      <c r="Y51" s="1099">
        <f t="shared" si="49"/>
        <v>0</v>
      </c>
      <c r="Z51" s="1019"/>
      <c r="AA51" s="1099"/>
      <c r="AB51" s="1099"/>
      <c r="AC51" s="1099"/>
      <c r="AD51" s="1099">
        <f t="shared" si="50"/>
        <v>0</v>
      </c>
      <c r="AE51" s="1019"/>
      <c r="AF51" s="1099"/>
      <c r="AG51" s="1099"/>
      <c r="AH51" s="1099"/>
      <c r="AI51" s="1099">
        <f>SUM(AG51:AH51)</f>
        <v>0</v>
      </c>
      <c r="AJ51" s="1019"/>
      <c r="AK51" s="1099"/>
      <c r="AL51" s="1099"/>
      <c r="AM51" s="1099"/>
      <c r="AN51" s="1099">
        <f t="shared" si="51"/>
        <v>0</v>
      </c>
      <c r="AO51" s="1019">
        <f t="shared" si="58"/>
        <v>0</v>
      </c>
      <c r="AP51" s="1099"/>
      <c r="AQ51" s="1099"/>
      <c r="AR51" s="1099"/>
      <c r="AS51" s="1099">
        <f t="shared" si="52"/>
        <v>0</v>
      </c>
      <c r="AT51" s="1019">
        <f t="shared" si="59"/>
        <v>0</v>
      </c>
      <c r="AU51" s="1099"/>
      <c r="AV51" s="1099"/>
      <c r="AW51" s="1099"/>
      <c r="AX51" s="1099">
        <f t="shared" si="53"/>
        <v>0</v>
      </c>
      <c r="AY51" s="1019">
        <f t="shared" si="60"/>
        <v>0</v>
      </c>
      <c r="AZ51" s="1099"/>
      <c r="BA51" s="1094"/>
      <c r="BB51" s="1099"/>
      <c r="BC51" s="1099">
        <f t="shared" si="54"/>
        <v>0</v>
      </c>
      <c r="BD51" s="1019">
        <f t="shared" si="61"/>
        <v>0</v>
      </c>
      <c r="BE51" s="1099"/>
      <c r="BF51" s="1094"/>
      <c r="BG51" s="1099"/>
      <c r="BH51" s="1099">
        <f t="shared" si="55"/>
        <v>0</v>
      </c>
      <c r="BI51" s="1019">
        <f t="shared" si="62"/>
        <v>0</v>
      </c>
      <c r="BJ51" s="1007">
        <f t="shared" si="63"/>
        <v>0</v>
      </c>
      <c r="BK51" s="1007">
        <f t="shared" si="56"/>
        <v>0</v>
      </c>
      <c r="BL51" s="1007">
        <f t="shared" si="57"/>
        <v>0</v>
      </c>
      <c r="BM51" s="1013">
        <f t="shared" si="64"/>
        <v>0</v>
      </c>
      <c r="BN51" s="1013">
        <f t="shared" si="64"/>
        <v>0</v>
      </c>
      <c r="BO51" s="1090">
        <f>BJ51+'4 bba Önkorm '!DM50</f>
        <v>0</v>
      </c>
      <c r="BP51" s="1090">
        <f>BK51+'4 bba Önkorm '!DN50</f>
        <v>0</v>
      </c>
      <c r="BQ51" s="1090">
        <f>BL51+'4 bba Önkorm '!DO50</f>
        <v>0</v>
      </c>
      <c r="BR51" s="1013">
        <f>BM51+'4 bba Önkorm '!DP50</f>
        <v>0</v>
      </c>
      <c r="BS51" s="1013">
        <f>BN51+'4 bba Önkorm '!DQ50</f>
        <v>0</v>
      </c>
    </row>
    <row r="52" spans="1:71" ht="15" customHeight="1">
      <c r="A52" s="405" t="s">
        <v>729</v>
      </c>
      <c r="B52" s="321"/>
      <c r="C52" s="1099"/>
      <c r="D52" s="1099"/>
      <c r="E52" s="1099">
        <f t="shared" si="45"/>
        <v>0</v>
      </c>
      <c r="F52" s="1019"/>
      <c r="G52" s="1099"/>
      <c r="H52" s="1099"/>
      <c r="I52" s="1099"/>
      <c r="J52" s="1099">
        <f t="shared" si="46"/>
        <v>0</v>
      </c>
      <c r="K52" s="1019"/>
      <c r="L52" s="1099"/>
      <c r="M52" s="1099"/>
      <c r="N52" s="1099"/>
      <c r="O52" s="1099">
        <f t="shared" si="47"/>
        <v>0</v>
      </c>
      <c r="P52" s="1019"/>
      <c r="Q52" s="1099"/>
      <c r="R52" s="1099"/>
      <c r="S52" s="1099"/>
      <c r="T52" s="1099">
        <f t="shared" si="48"/>
        <v>0</v>
      </c>
      <c r="U52" s="1019"/>
      <c r="V52" s="1099"/>
      <c r="W52" s="1099"/>
      <c r="X52" s="1099"/>
      <c r="Y52" s="1099">
        <f t="shared" si="49"/>
        <v>0</v>
      </c>
      <c r="Z52" s="1019"/>
      <c r="AA52" s="1099"/>
      <c r="AB52" s="1099"/>
      <c r="AC52" s="1099"/>
      <c r="AD52" s="1099">
        <f t="shared" si="50"/>
        <v>0</v>
      </c>
      <c r="AE52" s="1019"/>
      <c r="AF52" s="1099"/>
      <c r="AG52" s="1099"/>
      <c r="AH52" s="1099"/>
      <c r="AI52" s="1099">
        <v>5890000000</v>
      </c>
      <c r="AJ52" s="1019">
        <v>5890000000</v>
      </c>
      <c r="AK52" s="1099"/>
      <c r="AL52" s="1099"/>
      <c r="AM52" s="1099"/>
      <c r="AN52" s="1099">
        <f t="shared" si="51"/>
        <v>0</v>
      </c>
      <c r="AO52" s="1019">
        <f t="shared" si="58"/>
        <v>0</v>
      </c>
      <c r="AP52" s="1099"/>
      <c r="AQ52" s="1099"/>
      <c r="AR52" s="1099"/>
      <c r="AS52" s="1099">
        <f t="shared" si="52"/>
        <v>0</v>
      </c>
      <c r="AT52" s="1019">
        <f t="shared" si="59"/>
        <v>0</v>
      </c>
      <c r="AU52" s="1099"/>
      <c r="AV52" s="1099"/>
      <c r="AW52" s="1099"/>
      <c r="AX52" s="1099">
        <f t="shared" si="53"/>
        <v>0</v>
      </c>
      <c r="AY52" s="1019">
        <f t="shared" si="60"/>
        <v>0</v>
      </c>
      <c r="AZ52" s="1099"/>
      <c r="BA52" s="1094"/>
      <c r="BB52" s="1099"/>
      <c r="BC52" s="1099">
        <f t="shared" si="54"/>
        <v>0</v>
      </c>
      <c r="BD52" s="1019">
        <f t="shared" si="61"/>
        <v>0</v>
      </c>
      <c r="BE52" s="1099"/>
      <c r="BF52" s="1094"/>
      <c r="BG52" s="1099"/>
      <c r="BH52" s="1099">
        <f t="shared" si="55"/>
        <v>0</v>
      </c>
      <c r="BI52" s="1019">
        <f t="shared" si="62"/>
        <v>0</v>
      </c>
      <c r="BJ52" s="1007">
        <f t="shared" si="63"/>
        <v>0</v>
      </c>
      <c r="BK52" s="1007">
        <f t="shared" si="56"/>
        <v>0</v>
      </c>
      <c r="BL52" s="1007">
        <f t="shared" si="57"/>
        <v>0</v>
      </c>
      <c r="BM52" s="1013">
        <f t="shared" si="64"/>
        <v>5890000000</v>
      </c>
      <c r="BN52" s="1013">
        <f t="shared" si="64"/>
        <v>5890000000</v>
      </c>
      <c r="BO52" s="1090">
        <f>BJ52+'4 bba Önkorm '!DM51</f>
        <v>0</v>
      </c>
      <c r="BP52" s="1090">
        <f>BK52+'4 bba Önkorm '!DN51</f>
        <v>0</v>
      </c>
      <c r="BQ52" s="1090">
        <f>BL52+'4 bba Önkorm '!DO51</f>
        <v>0</v>
      </c>
      <c r="BR52" s="1013">
        <f>BM52+'4 bba Önkorm '!DP51</f>
        <v>5890000000</v>
      </c>
      <c r="BS52" s="1013">
        <f>BN52+'4 bba Önkorm '!DQ51</f>
        <v>5890000000</v>
      </c>
    </row>
    <row r="53" spans="1:71" ht="15" customHeight="1">
      <c r="A53" s="405" t="s">
        <v>730</v>
      </c>
      <c r="B53" s="321"/>
      <c r="C53" s="1099"/>
      <c r="D53" s="1099"/>
      <c r="E53" s="1099">
        <f t="shared" si="45"/>
        <v>0</v>
      </c>
      <c r="F53" s="1019"/>
      <c r="G53" s="1099"/>
      <c r="H53" s="1099"/>
      <c r="I53" s="1099"/>
      <c r="J53" s="1099">
        <f t="shared" si="46"/>
        <v>0</v>
      </c>
      <c r="K53" s="1019"/>
      <c r="L53" s="1099"/>
      <c r="M53" s="1099"/>
      <c r="N53" s="1099"/>
      <c r="O53" s="1099">
        <f t="shared" si="47"/>
        <v>0</v>
      </c>
      <c r="P53" s="1019"/>
      <c r="Q53" s="1099"/>
      <c r="R53" s="1099"/>
      <c r="S53" s="1099"/>
      <c r="T53" s="1099">
        <f t="shared" si="48"/>
        <v>0</v>
      </c>
      <c r="U53" s="1019"/>
      <c r="V53" s="1099"/>
      <c r="W53" s="1099"/>
      <c r="X53" s="1099"/>
      <c r="Y53" s="1099">
        <f t="shared" si="49"/>
        <v>0</v>
      </c>
      <c r="Z53" s="1019"/>
      <c r="AA53" s="1099"/>
      <c r="AB53" s="1099"/>
      <c r="AC53" s="1099"/>
      <c r="AD53" s="1099">
        <f t="shared" si="50"/>
        <v>0</v>
      </c>
      <c r="AE53" s="1019"/>
      <c r="AF53" s="1099"/>
      <c r="AG53" s="1099"/>
      <c r="AH53" s="1099"/>
      <c r="AI53" s="1099">
        <f>SUM(AG53:AH53)</f>
        <v>0</v>
      </c>
      <c r="AJ53" s="1019">
        <f>19809358161-19809358161</f>
        <v>0</v>
      </c>
      <c r="AK53" s="1099"/>
      <c r="AL53" s="1099"/>
      <c r="AM53" s="1099"/>
      <c r="AN53" s="1099">
        <f t="shared" si="51"/>
        <v>0</v>
      </c>
      <c r="AO53" s="1019">
        <f t="shared" si="58"/>
        <v>0</v>
      </c>
      <c r="AP53" s="1099"/>
      <c r="AQ53" s="1099"/>
      <c r="AR53" s="1099"/>
      <c r="AS53" s="1099">
        <f t="shared" si="52"/>
        <v>0</v>
      </c>
      <c r="AT53" s="1019">
        <f t="shared" si="59"/>
        <v>0</v>
      </c>
      <c r="AU53" s="1099"/>
      <c r="AV53" s="1099"/>
      <c r="AW53" s="1099"/>
      <c r="AX53" s="1099">
        <f t="shared" si="53"/>
        <v>0</v>
      </c>
      <c r="AY53" s="1019">
        <f t="shared" si="60"/>
        <v>0</v>
      </c>
      <c r="AZ53" s="1099"/>
      <c r="BA53" s="1094"/>
      <c r="BB53" s="1099"/>
      <c r="BC53" s="1099">
        <f t="shared" si="54"/>
        <v>0</v>
      </c>
      <c r="BD53" s="1019">
        <f t="shared" si="61"/>
        <v>0</v>
      </c>
      <c r="BE53" s="1099"/>
      <c r="BF53" s="1094"/>
      <c r="BG53" s="1099"/>
      <c r="BH53" s="1099">
        <f t="shared" si="55"/>
        <v>0</v>
      </c>
      <c r="BI53" s="1019">
        <f t="shared" si="62"/>
        <v>0</v>
      </c>
      <c r="BJ53" s="1007">
        <f t="shared" si="63"/>
        <v>0</v>
      </c>
      <c r="BK53" s="1007">
        <f t="shared" si="56"/>
        <v>0</v>
      </c>
      <c r="BL53" s="1007">
        <f t="shared" si="57"/>
        <v>0</v>
      </c>
      <c r="BM53" s="1013">
        <f t="shared" si="64"/>
        <v>0</v>
      </c>
      <c r="BN53" s="1013">
        <f t="shared" si="64"/>
        <v>0</v>
      </c>
      <c r="BO53" s="1090">
        <f>BJ53+'4 bba Önkorm '!DM52</f>
        <v>0</v>
      </c>
      <c r="BP53" s="1090">
        <f>BK53+'4 bba Önkorm '!DN52</f>
        <v>0</v>
      </c>
      <c r="BQ53" s="1090">
        <f>BL53+'4 bba Önkorm '!DO52</f>
        <v>0</v>
      </c>
      <c r="BR53" s="1013">
        <f>BM53+'4 bba Önkorm '!DP52</f>
        <v>0</v>
      </c>
      <c r="BS53" s="1013">
        <f>BN53+'4 bba Önkorm '!DQ52</f>
        <v>0</v>
      </c>
    </row>
    <row r="54" spans="1:71" ht="15" hidden="1" customHeight="1">
      <c r="A54" s="405" t="s">
        <v>731</v>
      </c>
      <c r="B54" s="321"/>
      <c r="C54" s="1099"/>
      <c r="D54" s="1099"/>
      <c r="E54" s="1099">
        <f t="shared" si="45"/>
        <v>0</v>
      </c>
      <c r="F54" s="1019"/>
      <c r="G54" s="1099"/>
      <c r="H54" s="1099"/>
      <c r="I54" s="1099"/>
      <c r="J54" s="1099">
        <f t="shared" si="46"/>
        <v>0</v>
      </c>
      <c r="K54" s="1019"/>
      <c r="L54" s="1099"/>
      <c r="M54" s="1099"/>
      <c r="N54" s="1099"/>
      <c r="O54" s="1099">
        <f t="shared" si="47"/>
        <v>0</v>
      </c>
      <c r="P54" s="1019"/>
      <c r="Q54" s="1099"/>
      <c r="R54" s="1099"/>
      <c r="S54" s="1099"/>
      <c r="T54" s="1099">
        <f t="shared" si="48"/>
        <v>0</v>
      </c>
      <c r="U54" s="1019"/>
      <c r="V54" s="1099"/>
      <c r="W54" s="1099"/>
      <c r="X54" s="1099"/>
      <c r="Y54" s="1099">
        <f t="shared" si="49"/>
        <v>0</v>
      </c>
      <c r="Z54" s="1019"/>
      <c r="AA54" s="1099"/>
      <c r="AB54" s="1099"/>
      <c r="AC54" s="1099"/>
      <c r="AD54" s="1099">
        <f t="shared" si="50"/>
        <v>0</v>
      </c>
      <c r="AE54" s="1019"/>
      <c r="AF54" s="1099"/>
      <c r="AG54" s="1099"/>
      <c r="AH54" s="1099"/>
      <c r="AI54" s="1099">
        <f>SUM(AG54:AH54)</f>
        <v>0</v>
      </c>
      <c r="AJ54" s="1019"/>
      <c r="AK54" s="1099"/>
      <c r="AL54" s="1099"/>
      <c r="AM54" s="1099"/>
      <c r="AN54" s="1099">
        <f t="shared" si="51"/>
        <v>0</v>
      </c>
      <c r="AO54" s="1019">
        <f t="shared" si="58"/>
        <v>0</v>
      </c>
      <c r="AP54" s="1099"/>
      <c r="AQ54" s="1099"/>
      <c r="AR54" s="1099"/>
      <c r="AS54" s="1099">
        <f t="shared" si="52"/>
        <v>0</v>
      </c>
      <c r="AT54" s="1019">
        <f t="shared" si="59"/>
        <v>0</v>
      </c>
      <c r="AU54" s="1099"/>
      <c r="AV54" s="1099"/>
      <c r="AW54" s="1099"/>
      <c r="AX54" s="1099">
        <f t="shared" si="53"/>
        <v>0</v>
      </c>
      <c r="AY54" s="1019">
        <f t="shared" si="60"/>
        <v>0</v>
      </c>
      <c r="AZ54" s="1099"/>
      <c r="BA54" s="1094"/>
      <c r="BB54" s="1099"/>
      <c r="BC54" s="1099">
        <f t="shared" si="54"/>
        <v>0</v>
      </c>
      <c r="BD54" s="1019">
        <f t="shared" si="61"/>
        <v>0</v>
      </c>
      <c r="BE54" s="1099"/>
      <c r="BF54" s="1094"/>
      <c r="BG54" s="1099"/>
      <c r="BH54" s="1099">
        <f t="shared" si="55"/>
        <v>0</v>
      </c>
      <c r="BI54" s="1019">
        <f t="shared" si="62"/>
        <v>0</v>
      </c>
      <c r="BJ54" s="1007">
        <f t="shared" si="63"/>
        <v>0</v>
      </c>
      <c r="BK54" s="1007">
        <f t="shared" si="56"/>
        <v>0</v>
      </c>
      <c r="BL54" s="1007">
        <f t="shared" si="57"/>
        <v>0</v>
      </c>
      <c r="BM54" s="1013">
        <f t="shared" si="64"/>
        <v>0</v>
      </c>
      <c r="BN54" s="1013">
        <f t="shared" si="64"/>
        <v>0</v>
      </c>
      <c r="BO54" s="1090">
        <f>BJ54+'4 bba Önkorm '!DM53</f>
        <v>0</v>
      </c>
      <c r="BP54" s="1090">
        <f>BK54+'4 bba Önkorm '!DN53</f>
        <v>0</v>
      </c>
      <c r="BQ54" s="1090">
        <f>BL54+'4 bba Önkorm '!DO53</f>
        <v>0</v>
      </c>
      <c r="BR54" s="1013">
        <f>BM54+'4 bba Önkorm '!DP53</f>
        <v>0</v>
      </c>
      <c r="BS54" s="1013">
        <f>BN54+'4 bba Önkorm '!DQ53</f>
        <v>0</v>
      </c>
    </row>
    <row r="55" spans="1:71" ht="15" customHeight="1">
      <c r="A55" s="405" t="s">
        <v>732</v>
      </c>
      <c r="B55" s="321"/>
      <c r="C55" s="1099"/>
      <c r="D55" s="1099"/>
      <c r="E55" s="1099">
        <f t="shared" si="45"/>
        <v>0</v>
      </c>
      <c r="F55" s="1019"/>
      <c r="G55" s="1099"/>
      <c r="H55" s="1099"/>
      <c r="I55" s="1099"/>
      <c r="J55" s="1099">
        <f t="shared" si="46"/>
        <v>0</v>
      </c>
      <c r="K55" s="1019"/>
      <c r="L55" s="1099"/>
      <c r="M55" s="1099"/>
      <c r="N55" s="1099"/>
      <c r="O55" s="1099">
        <f t="shared" si="47"/>
        <v>0</v>
      </c>
      <c r="P55" s="1019"/>
      <c r="Q55" s="1099"/>
      <c r="R55" s="1099"/>
      <c r="S55" s="1099"/>
      <c r="T55" s="1099">
        <f t="shared" si="48"/>
        <v>0</v>
      </c>
      <c r="U55" s="1019"/>
      <c r="V55" s="1099"/>
      <c r="W55" s="1099"/>
      <c r="X55" s="1099"/>
      <c r="Y55" s="1099">
        <f t="shared" si="49"/>
        <v>0</v>
      </c>
      <c r="Z55" s="1019"/>
      <c r="AA55" s="1099"/>
      <c r="AB55" s="1099"/>
      <c r="AC55" s="1099"/>
      <c r="AD55" s="1099">
        <f t="shared" si="50"/>
        <v>0</v>
      </c>
      <c r="AE55" s="1019"/>
      <c r="AF55" s="1099">
        <v>2049522298</v>
      </c>
      <c r="AG55" s="1099">
        <v>2084036598</v>
      </c>
      <c r="AH55" s="909">
        <v>23161910</v>
      </c>
      <c r="AI55" s="1099">
        <v>2197159113</v>
      </c>
      <c r="AJ55" s="1019">
        <v>2197159113</v>
      </c>
      <c r="AK55" s="1099"/>
      <c r="AL55" s="1099"/>
      <c r="AM55" s="1099"/>
      <c r="AN55" s="1099">
        <f t="shared" si="51"/>
        <v>0</v>
      </c>
      <c r="AO55" s="1019">
        <f t="shared" si="58"/>
        <v>0</v>
      </c>
      <c r="AP55" s="1099"/>
      <c r="AQ55" s="1099"/>
      <c r="AR55" s="1099"/>
      <c r="AS55" s="1099">
        <f t="shared" si="52"/>
        <v>0</v>
      </c>
      <c r="AT55" s="1019">
        <f t="shared" si="59"/>
        <v>0</v>
      </c>
      <c r="AU55" s="1099"/>
      <c r="AV55" s="1099"/>
      <c r="AW55" s="1099"/>
      <c r="AX55" s="1099">
        <f t="shared" si="53"/>
        <v>0</v>
      </c>
      <c r="AY55" s="1019">
        <f t="shared" si="60"/>
        <v>0</v>
      </c>
      <c r="AZ55" s="1099"/>
      <c r="BA55" s="1094"/>
      <c r="BB55" s="1099"/>
      <c r="BC55" s="1099">
        <f t="shared" si="54"/>
        <v>0</v>
      </c>
      <c r="BD55" s="1019">
        <f t="shared" si="61"/>
        <v>0</v>
      </c>
      <c r="BE55" s="1099"/>
      <c r="BF55" s="1094"/>
      <c r="BG55" s="1099"/>
      <c r="BH55" s="1099">
        <f t="shared" si="55"/>
        <v>0</v>
      </c>
      <c r="BI55" s="1019">
        <f t="shared" si="62"/>
        <v>0</v>
      </c>
      <c r="BJ55" s="1007">
        <f t="shared" si="63"/>
        <v>2049522298</v>
      </c>
      <c r="BK55" s="1007">
        <f t="shared" si="56"/>
        <v>2084036598</v>
      </c>
      <c r="BL55" s="1007">
        <f t="shared" si="57"/>
        <v>23161910</v>
      </c>
      <c r="BM55" s="1013">
        <f t="shared" si="64"/>
        <v>2197159113</v>
      </c>
      <c r="BN55" s="1013">
        <f t="shared" si="64"/>
        <v>2197159113</v>
      </c>
      <c r="BO55" s="1090">
        <f>BJ55+'4 bba Önkorm '!DM54</f>
        <v>2049522298</v>
      </c>
      <c r="BP55" s="1090">
        <f>BK55+'4 bba Önkorm '!DN54</f>
        <v>2084036598</v>
      </c>
      <c r="BQ55" s="1090">
        <f>BL55+'4 bba Önkorm '!DO54</f>
        <v>23161910</v>
      </c>
      <c r="BR55" s="1013">
        <f>BM55+'4 bba Önkorm '!DP54</f>
        <v>2197159113</v>
      </c>
      <c r="BS55" s="1013">
        <f>BN55+'4 bba Önkorm '!DQ54</f>
        <v>2197159113</v>
      </c>
    </row>
    <row r="56" spans="1:71" ht="15" customHeight="1">
      <c r="A56" s="405" t="s">
        <v>733</v>
      </c>
      <c r="B56" s="321"/>
      <c r="C56" s="1099"/>
      <c r="D56" s="1099"/>
      <c r="E56" s="1099">
        <f t="shared" si="45"/>
        <v>0</v>
      </c>
      <c r="F56" s="1019"/>
      <c r="G56" s="1099"/>
      <c r="H56" s="1099"/>
      <c r="I56" s="1099"/>
      <c r="J56" s="1099">
        <f t="shared" si="46"/>
        <v>0</v>
      </c>
      <c r="K56" s="1019"/>
      <c r="L56" s="1099"/>
      <c r="M56" s="1099"/>
      <c r="N56" s="1099"/>
      <c r="O56" s="1099">
        <f t="shared" si="47"/>
        <v>0</v>
      </c>
      <c r="P56" s="1019"/>
      <c r="Q56" s="1099"/>
      <c r="R56" s="1099"/>
      <c r="S56" s="1099"/>
      <c r="T56" s="1099">
        <f t="shared" si="48"/>
        <v>0</v>
      </c>
      <c r="U56" s="1019"/>
      <c r="V56" s="1099"/>
      <c r="W56" s="1099"/>
      <c r="X56" s="1099"/>
      <c r="Y56" s="1099">
        <f t="shared" si="49"/>
        <v>0</v>
      </c>
      <c r="Z56" s="1019"/>
      <c r="AA56" s="1099"/>
      <c r="AB56" s="1099"/>
      <c r="AC56" s="1099"/>
      <c r="AD56" s="1099">
        <f t="shared" si="50"/>
        <v>0</v>
      </c>
      <c r="AE56" s="1019"/>
      <c r="AF56" s="1099">
        <v>5168694000</v>
      </c>
      <c r="AG56" s="1099">
        <v>5178738007</v>
      </c>
      <c r="AH56" s="909">
        <v>-26423207</v>
      </c>
      <c r="AI56" s="1099">
        <v>5137818770</v>
      </c>
      <c r="AJ56" s="1019">
        <f>6647423286-22730694-2197159113</f>
        <v>4427533479</v>
      </c>
      <c r="AK56" s="1099"/>
      <c r="AL56" s="1099"/>
      <c r="AM56" s="1099"/>
      <c r="AN56" s="1099">
        <v>22730694</v>
      </c>
      <c r="AO56" s="1019">
        <v>22730694</v>
      </c>
      <c r="AP56" s="1099"/>
      <c r="AQ56" s="1099"/>
      <c r="AR56" s="1099"/>
      <c r="AS56" s="1099">
        <f t="shared" si="52"/>
        <v>0</v>
      </c>
      <c r="AT56" s="1019">
        <f t="shared" si="59"/>
        <v>0</v>
      </c>
      <c r="AU56" s="1099"/>
      <c r="AV56" s="1099"/>
      <c r="AW56" s="1099"/>
      <c r="AX56" s="1099">
        <f t="shared" si="53"/>
        <v>0</v>
      </c>
      <c r="AY56" s="1019">
        <f t="shared" si="60"/>
        <v>0</v>
      </c>
      <c r="AZ56" s="1099"/>
      <c r="BA56" s="1094"/>
      <c r="BB56" s="1099"/>
      <c r="BC56" s="1099">
        <f t="shared" si="54"/>
        <v>0</v>
      </c>
      <c r="BD56" s="1019">
        <f t="shared" si="61"/>
        <v>0</v>
      </c>
      <c r="BE56" s="1099"/>
      <c r="BF56" s="1094"/>
      <c r="BG56" s="1099"/>
      <c r="BH56" s="1099">
        <f t="shared" si="55"/>
        <v>0</v>
      </c>
      <c r="BI56" s="1019">
        <f t="shared" si="62"/>
        <v>0</v>
      </c>
      <c r="BJ56" s="1007">
        <f t="shared" si="63"/>
        <v>5168694000</v>
      </c>
      <c r="BK56" s="1007">
        <f t="shared" si="56"/>
        <v>5178738007</v>
      </c>
      <c r="BL56" s="1007">
        <f t="shared" si="57"/>
        <v>-26423207</v>
      </c>
      <c r="BM56" s="1013">
        <f t="shared" si="64"/>
        <v>5160549464</v>
      </c>
      <c r="BN56" s="1013">
        <f t="shared" si="64"/>
        <v>4450264173</v>
      </c>
      <c r="BO56" s="1090">
        <f>BJ56+'4 bba Önkorm '!DM55</f>
        <v>5168694000</v>
      </c>
      <c r="BP56" s="1090">
        <f>BK56+'4 bba Önkorm '!DN55</f>
        <v>5178738007</v>
      </c>
      <c r="BQ56" s="1090">
        <f>BL56+'4 bba Önkorm '!DO55</f>
        <v>-26423207</v>
      </c>
      <c r="BR56" s="1013">
        <f>BM56+'4 bba Önkorm '!DP55</f>
        <v>5160549464</v>
      </c>
      <c r="BS56" s="1013">
        <f>BN56+'4 bba Önkorm '!DQ55</f>
        <v>4450264173</v>
      </c>
    </row>
    <row r="57" spans="1:71" ht="15" customHeight="1">
      <c r="A57" s="405" t="s">
        <v>734</v>
      </c>
      <c r="B57" s="321"/>
      <c r="C57" s="1099"/>
      <c r="D57" s="1099"/>
      <c r="E57" s="1099">
        <f t="shared" si="45"/>
        <v>0</v>
      </c>
      <c r="F57" s="1019"/>
      <c r="G57" s="1099"/>
      <c r="H57" s="1099"/>
      <c r="I57" s="1099"/>
      <c r="J57" s="1099">
        <f t="shared" si="46"/>
        <v>0</v>
      </c>
      <c r="K57" s="1019"/>
      <c r="L57" s="1099"/>
      <c r="M57" s="1099"/>
      <c r="N57" s="1099"/>
      <c r="O57" s="1099">
        <f t="shared" si="47"/>
        <v>0</v>
      </c>
      <c r="P57" s="1019"/>
      <c r="Q57" s="1099"/>
      <c r="R57" s="1099"/>
      <c r="S57" s="1099"/>
      <c r="T57" s="1099">
        <f t="shared" si="48"/>
        <v>0</v>
      </c>
      <c r="U57" s="1019"/>
      <c r="V57" s="1099"/>
      <c r="W57" s="1099"/>
      <c r="X57" s="1099"/>
      <c r="Y57" s="1099">
        <f t="shared" si="49"/>
        <v>0</v>
      </c>
      <c r="Z57" s="1019"/>
      <c r="AA57" s="1099"/>
      <c r="AB57" s="1099"/>
      <c r="AC57" s="1099"/>
      <c r="AD57" s="1099">
        <f t="shared" si="50"/>
        <v>0</v>
      </c>
      <c r="AE57" s="1019"/>
      <c r="AF57" s="1099"/>
      <c r="AG57" s="1099"/>
      <c r="AH57" s="911"/>
      <c r="AI57" s="1099">
        <v>3517000</v>
      </c>
      <c r="AJ57" s="1019">
        <v>3517000</v>
      </c>
      <c r="AK57" s="1099"/>
      <c r="AL57" s="1099"/>
      <c r="AM57" s="1099"/>
      <c r="AN57" s="1099">
        <f>SUM(AL57:AM57)</f>
        <v>0</v>
      </c>
      <c r="AO57" s="1019">
        <f t="shared" si="58"/>
        <v>0</v>
      </c>
      <c r="AP57" s="1099"/>
      <c r="AQ57" s="1099"/>
      <c r="AR57" s="1099"/>
      <c r="AS57" s="1099">
        <f t="shared" si="52"/>
        <v>0</v>
      </c>
      <c r="AT57" s="1019">
        <f t="shared" si="59"/>
        <v>0</v>
      </c>
      <c r="AU57" s="1099"/>
      <c r="AV57" s="1099"/>
      <c r="AW57" s="1099"/>
      <c r="AX57" s="1099">
        <f t="shared" si="53"/>
        <v>0</v>
      </c>
      <c r="AY57" s="1019">
        <f t="shared" si="60"/>
        <v>0</v>
      </c>
      <c r="AZ57" s="1099"/>
      <c r="BA57" s="1094"/>
      <c r="BB57" s="1099"/>
      <c r="BC57" s="1099">
        <f t="shared" si="54"/>
        <v>0</v>
      </c>
      <c r="BD57" s="1019">
        <f t="shared" si="61"/>
        <v>0</v>
      </c>
      <c r="BE57" s="1099"/>
      <c r="BF57" s="1094"/>
      <c r="BG57" s="1099"/>
      <c r="BH57" s="1099">
        <f t="shared" si="55"/>
        <v>0</v>
      </c>
      <c r="BI57" s="1019">
        <f t="shared" si="62"/>
        <v>0</v>
      </c>
      <c r="BJ57" s="1007">
        <f t="shared" si="63"/>
        <v>0</v>
      </c>
      <c r="BK57" s="1007">
        <f t="shared" si="56"/>
        <v>0</v>
      </c>
      <c r="BL57" s="1007">
        <f t="shared" si="57"/>
        <v>0</v>
      </c>
      <c r="BM57" s="1013">
        <f t="shared" si="64"/>
        <v>3517000</v>
      </c>
      <c r="BN57" s="1013">
        <f t="shared" si="64"/>
        <v>3517000</v>
      </c>
      <c r="BO57" s="1090">
        <f>BJ57+'4 bba Önkorm '!DM56</f>
        <v>0</v>
      </c>
      <c r="BP57" s="1090">
        <f>BK57+'4 bba Önkorm '!DN56</f>
        <v>0</v>
      </c>
      <c r="BQ57" s="1090">
        <f>BL57+'4 bba Önkorm '!DO56</f>
        <v>0</v>
      </c>
      <c r="BR57" s="1013">
        <f>BM57+'4 bba Önkorm '!DP56</f>
        <v>3517000</v>
      </c>
      <c r="BS57" s="1013">
        <f>BN57+'4 bba Önkorm '!DQ56</f>
        <v>3517000</v>
      </c>
    </row>
    <row r="58" spans="1:71" ht="15" customHeight="1">
      <c r="A58" s="405" t="s">
        <v>735</v>
      </c>
      <c r="B58" s="321"/>
      <c r="C58" s="1099"/>
      <c r="D58" s="1099"/>
      <c r="E58" s="1099">
        <f t="shared" si="45"/>
        <v>0</v>
      </c>
      <c r="F58" s="1019"/>
      <c r="G58" s="1099"/>
      <c r="H58" s="1099"/>
      <c r="I58" s="1099"/>
      <c r="J58" s="1099">
        <f t="shared" si="46"/>
        <v>0</v>
      </c>
      <c r="K58" s="1019"/>
      <c r="L58" s="1099"/>
      <c r="M58" s="1099"/>
      <c r="N58" s="1099"/>
      <c r="O58" s="1099">
        <f t="shared" si="47"/>
        <v>0</v>
      </c>
      <c r="P58" s="1019"/>
      <c r="Q58" s="1099"/>
      <c r="R58" s="1099"/>
      <c r="S58" s="1099"/>
      <c r="T58" s="1099">
        <f t="shared" si="48"/>
        <v>0</v>
      </c>
      <c r="U58" s="1019"/>
      <c r="V58" s="1099"/>
      <c r="W58" s="1099"/>
      <c r="X58" s="1099"/>
      <c r="Y58" s="1099">
        <f t="shared" si="49"/>
        <v>0</v>
      </c>
      <c r="Z58" s="1019"/>
      <c r="AA58" s="1099"/>
      <c r="AB58" s="1099"/>
      <c r="AC58" s="1099"/>
      <c r="AD58" s="1099">
        <f t="shared" si="50"/>
        <v>0</v>
      </c>
      <c r="AE58" s="1019"/>
      <c r="AF58" s="1099">
        <v>906693000</v>
      </c>
      <c r="AG58" s="1099">
        <v>1149695333</v>
      </c>
      <c r="AH58" s="909">
        <f>-208105504+3378156</f>
        <v>-204727348</v>
      </c>
      <c r="AI58" s="1099">
        <v>929528846</v>
      </c>
      <c r="AJ58" s="1019">
        <f>816240511-3517000</f>
        <v>812723511</v>
      </c>
      <c r="AK58" s="1099"/>
      <c r="AL58" s="1099"/>
      <c r="AM58" s="1099"/>
      <c r="AN58" s="1099">
        <v>182388</v>
      </c>
      <c r="AO58" s="1019">
        <v>182388</v>
      </c>
      <c r="AP58" s="1099"/>
      <c r="AQ58" s="1099"/>
      <c r="AR58" s="1099"/>
      <c r="AS58" s="1099">
        <f t="shared" si="52"/>
        <v>0</v>
      </c>
      <c r="AT58" s="1019">
        <f t="shared" si="59"/>
        <v>0</v>
      </c>
      <c r="AU58" s="1099"/>
      <c r="AV58" s="1099"/>
      <c r="AW58" s="1099"/>
      <c r="AX58" s="1099">
        <f t="shared" si="53"/>
        <v>0</v>
      </c>
      <c r="AY58" s="1019">
        <f t="shared" si="60"/>
        <v>0</v>
      </c>
      <c r="AZ58" s="1099"/>
      <c r="BA58" s="1094"/>
      <c r="BB58" s="1099"/>
      <c r="BC58" s="1099">
        <f t="shared" si="54"/>
        <v>0</v>
      </c>
      <c r="BD58" s="1019">
        <f t="shared" si="61"/>
        <v>0</v>
      </c>
      <c r="BE58" s="1099"/>
      <c r="BF58" s="1094"/>
      <c r="BG58" s="1099"/>
      <c r="BH58" s="1099">
        <f t="shared" si="55"/>
        <v>0</v>
      </c>
      <c r="BI58" s="1019">
        <f t="shared" si="62"/>
        <v>0</v>
      </c>
      <c r="BJ58" s="1007">
        <f t="shared" si="63"/>
        <v>906693000</v>
      </c>
      <c r="BK58" s="1007">
        <f t="shared" si="56"/>
        <v>1149695333</v>
      </c>
      <c r="BL58" s="1007">
        <f t="shared" si="57"/>
        <v>-204727348</v>
      </c>
      <c r="BM58" s="1013">
        <f t="shared" si="64"/>
        <v>929711234</v>
      </c>
      <c r="BN58" s="1013">
        <f t="shared" si="64"/>
        <v>812905899</v>
      </c>
      <c r="BO58" s="1090">
        <f>BJ58+'4 bba Önkorm '!DM57</f>
        <v>906693000</v>
      </c>
      <c r="BP58" s="1090">
        <f>BK58+'4 bba Önkorm '!DN57</f>
        <v>1149695333</v>
      </c>
      <c r="BQ58" s="1090">
        <f>BL58+'4 bba Önkorm '!DO57</f>
        <v>-204727348</v>
      </c>
      <c r="BR58" s="1013">
        <f>BM58+'4 bba Önkorm '!DP57</f>
        <v>929711234</v>
      </c>
      <c r="BS58" s="1013">
        <f>BN58+'4 bba Önkorm '!DQ57</f>
        <v>812905899</v>
      </c>
    </row>
    <row r="59" spans="1:71" ht="15" hidden="1" customHeight="1">
      <c r="A59" s="405" t="s">
        <v>736</v>
      </c>
      <c r="B59" s="321"/>
      <c r="C59" s="1099"/>
      <c r="D59" s="1099"/>
      <c r="E59" s="1099">
        <f t="shared" si="45"/>
        <v>0</v>
      </c>
      <c r="F59" s="1099"/>
      <c r="G59" s="1099"/>
      <c r="H59" s="1099"/>
      <c r="I59" s="1099"/>
      <c r="J59" s="1099">
        <f t="shared" si="46"/>
        <v>0</v>
      </c>
      <c r="K59" s="1099"/>
      <c r="L59" s="1099"/>
      <c r="M59" s="1099"/>
      <c r="N59" s="1099"/>
      <c r="O59" s="1099">
        <f t="shared" si="47"/>
        <v>0</v>
      </c>
      <c r="P59" s="1099"/>
      <c r="Q59" s="1099"/>
      <c r="R59" s="1099"/>
      <c r="S59" s="1099"/>
      <c r="T59" s="1099">
        <f t="shared" si="48"/>
        <v>0</v>
      </c>
      <c r="U59" s="1099"/>
      <c r="V59" s="1099"/>
      <c r="W59" s="1099"/>
      <c r="X59" s="1099"/>
      <c r="Y59" s="1099">
        <f t="shared" si="49"/>
        <v>0</v>
      </c>
      <c r="Z59" s="1099"/>
      <c r="AA59" s="1099"/>
      <c r="AB59" s="1099"/>
      <c r="AC59" s="1099"/>
      <c r="AD59" s="1099">
        <f t="shared" si="50"/>
        <v>0</v>
      </c>
      <c r="AE59" s="1099"/>
      <c r="AF59" s="1099"/>
      <c r="AG59" s="1099"/>
      <c r="AH59" s="1099"/>
      <c r="AI59" s="1099">
        <f>SUM(AG59:AH59)</f>
        <v>0</v>
      </c>
      <c r="AJ59" s="1099"/>
      <c r="AK59" s="1099"/>
      <c r="AL59" s="1099"/>
      <c r="AM59" s="1099"/>
      <c r="AN59" s="1099">
        <f>SUM(AL59:AM59)</f>
        <v>0</v>
      </c>
      <c r="AO59" s="1099"/>
      <c r="AP59" s="1099"/>
      <c r="AQ59" s="1099"/>
      <c r="AR59" s="1099"/>
      <c r="AS59" s="1099">
        <f t="shared" si="52"/>
        <v>0</v>
      </c>
      <c r="AT59" s="1099"/>
      <c r="AU59" s="1099"/>
      <c r="AV59" s="1099"/>
      <c r="AW59" s="1099"/>
      <c r="AX59" s="1099">
        <f t="shared" si="53"/>
        <v>0</v>
      </c>
      <c r="AY59" s="1099"/>
      <c r="AZ59" s="1099"/>
      <c r="BA59" s="1094"/>
      <c r="BB59" s="1099"/>
      <c r="BC59" s="1099">
        <f t="shared" si="54"/>
        <v>0</v>
      </c>
      <c r="BD59" s="1099"/>
      <c r="BE59" s="1099"/>
      <c r="BF59" s="1094"/>
      <c r="BG59" s="1099"/>
      <c r="BH59" s="1099">
        <f t="shared" si="55"/>
        <v>0</v>
      </c>
      <c r="BI59" s="1099"/>
      <c r="BJ59" s="1007">
        <f t="shared" si="63"/>
        <v>0</v>
      </c>
      <c r="BK59" s="1007">
        <v>0</v>
      </c>
      <c r="BL59" s="1007">
        <f>SUM(D59+I59+N59+S59+X59+AC59+AH59+AM59+AR59+AW59+BB59+BG59)</f>
        <v>0</v>
      </c>
      <c r="BM59" s="1013">
        <f>SUM(BK59+BL59)</f>
        <v>0</v>
      </c>
      <c r="BN59" s="1102"/>
      <c r="BO59" s="1013"/>
      <c r="BP59" s="1090">
        <f>M59+BF59</f>
        <v>0</v>
      </c>
      <c r="BQ59" s="1090">
        <f>N59+BG59</f>
        <v>0</v>
      </c>
      <c r="BR59" s="1013">
        <f>SUM(BP59:BQ59)</f>
        <v>0</v>
      </c>
      <c r="BS59" s="1013">
        <f>BN59+'4 bba Önkorm '!DQ58</f>
        <v>0</v>
      </c>
    </row>
    <row r="60" spans="1:71" ht="15" customHeight="1">
      <c r="A60" s="1055" t="s">
        <v>737</v>
      </c>
      <c r="B60" s="1023">
        <f t="shared" ref="B60:AG60" si="65">SUM(B47:B59)</f>
        <v>0</v>
      </c>
      <c r="C60" s="1023">
        <f t="shared" si="65"/>
        <v>0</v>
      </c>
      <c r="D60" s="1023">
        <f t="shared" si="65"/>
        <v>0</v>
      </c>
      <c r="E60" s="1023">
        <f t="shared" si="65"/>
        <v>0</v>
      </c>
      <c r="F60" s="1023">
        <f t="shared" si="65"/>
        <v>0</v>
      </c>
      <c r="G60" s="1023">
        <f t="shared" si="65"/>
        <v>0</v>
      </c>
      <c r="H60" s="1023">
        <f t="shared" si="65"/>
        <v>0</v>
      </c>
      <c r="I60" s="1023">
        <f t="shared" si="65"/>
        <v>0</v>
      </c>
      <c r="J60" s="1023">
        <f t="shared" si="65"/>
        <v>0</v>
      </c>
      <c r="K60" s="1023">
        <f t="shared" si="65"/>
        <v>0</v>
      </c>
      <c r="L60" s="1023">
        <f t="shared" si="65"/>
        <v>0</v>
      </c>
      <c r="M60" s="1023">
        <f t="shared" si="65"/>
        <v>0</v>
      </c>
      <c r="N60" s="1023">
        <f t="shared" si="65"/>
        <v>0</v>
      </c>
      <c r="O60" s="1023">
        <f t="shared" si="65"/>
        <v>0</v>
      </c>
      <c r="P60" s="1023">
        <f t="shared" si="65"/>
        <v>0</v>
      </c>
      <c r="Q60" s="1023">
        <f t="shared" si="65"/>
        <v>0</v>
      </c>
      <c r="R60" s="1023">
        <f t="shared" si="65"/>
        <v>0</v>
      </c>
      <c r="S60" s="1023">
        <f t="shared" si="65"/>
        <v>0</v>
      </c>
      <c r="T60" s="1023">
        <f t="shared" si="65"/>
        <v>0</v>
      </c>
      <c r="U60" s="1023">
        <f t="shared" si="65"/>
        <v>0</v>
      </c>
      <c r="V60" s="1023">
        <f t="shared" si="65"/>
        <v>0</v>
      </c>
      <c r="W60" s="1023">
        <f t="shared" si="65"/>
        <v>0</v>
      </c>
      <c r="X60" s="1023">
        <f t="shared" si="65"/>
        <v>0</v>
      </c>
      <c r="Y60" s="1023">
        <f t="shared" si="65"/>
        <v>0</v>
      </c>
      <c r="Z60" s="1023">
        <f t="shared" si="65"/>
        <v>0</v>
      </c>
      <c r="AA60" s="1023">
        <f t="shared" si="65"/>
        <v>0</v>
      </c>
      <c r="AB60" s="1023">
        <f t="shared" si="65"/>
        <v>0</v>
      </c>
      <c r="AC60" s="1023">
        <f t="shared" si="65"/>
        <v>0</v>
      </c>
      <c r="AD60" s="1023">
        <f t="shared" si="65"/>
        <v>0</v>
      </c>
      <c r="AE60" s="1023">
        <f t="shared" si="65"/>
        <v>0</v>
      </c>
      <c r="AF60" s="1023">
        <f t="shared" si="65"/>
        <v>8124909298</v>
      </c>
      <c r="AG60" s="1023">
        <f t="shared" si="65"/>
        <v>8412469938</v>
      </c>
      <c r="AH60" s="1023">
        <f t="shared" ref="AH60:BN60" si="66">SUM(AH47:AH59)</f>
        <v>-207988645</v>
      </c>
      <c r="AI60" s="1023">
        <f t="shared" si="66"/>
        <v>14158023729</v>
      </c>
      <c r="AJ60" s="1023">
        <f t="shared" si="66"/>
        <v>13330933103</v>
      </c>
      <c r="AK60" s="1023">
        <f t="shared" si="66"/>
        <v>0</v>
      </c>
      <c r="AL60" s="1023">
        <f t="shared" si="66"/>
        <v>0</v>
      </c>
      <c r="AM60" s="1023">
        <f t="shared" si="66"/>
        <v>0</v>
      </c>
      <c r="AN60" s="1023">
        <f t="shared" si="66"/>
        <v>22913082</v>
      </c>
      <c r="AO60" s="1023">
        <f t="shared" si="66"/>
        <v>22913082</v>
      </c>
      <c r="AP60" s="1023">
        <f t="shared" si="66"/>
        <v>0</v>
      </c>
      <c r="AQ60" s="1023">
        <f t="shared" si="66"/>
        <v>0</v>
      </c>
      <c r="AR60" s="1023">
        <f t="shared" si="66"/>
        <v>0</v>
      </c>
      <c r="AS60" s="1023">
        <f t="shared" si="66"/>
        <v>0</v>
      </c>
      <c r="AT60" s="1023">
        <f t="shared" si="66"/>
        <v>0</v>
      </c>
      <c r="AU60" s="1023">
        <f t="shared" si="66"/>
        <v>0</v>
      </c>
      <c r="AV60" s="1023">
        <f t="shared" si="66"/>
        <v>0</v>
      </c>
      <c r="AW60" s="1023">
        <f t="shared" si="66"/>
        <v>0</v>
      </c>
      <c r="AX60" s="1023">
        <f t="shared" si="66"/>
        <v>0</v>
      </c>
      <c r="AY60" s="1023">
        <f t="shared" si="66"/>
        <v>0</v>
      </c>
      <c r="AZ60" s="1023">
        <f t="shared" si="66"/>
        <v>0</v>
      </c>
      <c r="BA60" s="1023">
        <f t="shared" si="66"/>
        <v>0</v>
      </c>
      <c r="BB60" s="1023">
        <f t="shared" si="66"/>
        <v>0</v>
      </c>
      <c r="BC60" s="1023">
        <f t="shared" si="66"/>
        <v>0</v>
      </c>
      <c r="BD60" s="1023">
        <f t="shared" si="66"/>
        <v>0</v>
      </c>
      <c r="BE60" s="1023">
        <f t="shared" si="66"/>
        <v>0</v>
      </c>
      <c r="BF60" s="1023">
        <f t="shared" si="66"/>
        <v>0</v>
      </c>
      <c r="BG60" s="1023">
        <f t="shared" si="66"/>
        <v>0</v>
      </c>
      <c r="BH60" s="1023">
        <f t="shared" si="66"/>
        <v>0</v>
      </c>
      <c r="BI60" s="1023">
        <f t="shared" si="66"/>
        <v>0</v>
      </c>
      <c r="BJ60" s="1023">
        <f t="shared" si="66"/>
        <v>8124909298</v>
      </c>
      <c r="BK60" s="1023">
        <f t="shared" si="66"/>
        <v>8412469938</v>
      </c>
      <c r="BL60" s="1023">
        <f t="shared" si="66"/>
        <v>-207988645</v>
      </c>
      <c r="BM60" s="1023">
        <f t="shared" si="66"/>
        <v>14180936811</v>
      </c>
      <c r="BN60" s="1023">
        <f t="shared" si="66"/>
        <v>13353846185</v>
      </c>
      <c r="BO60" s="1023">
        <f>SUM(BO47:BO59)</f>
        <v>8124909298</v>
      </c>
      <c r="BP60" s="1023">
        <f>SUM(BP47:BP59)</f>
        <v>8412469938</v>
      </c>
      <c r="BQ60" s="1023">
        <f>SUM(BQ47:BQ59)</f>
        <v>-207988645</v>
      </c>
      <c r="BR60" s="1023">
        <f>SUM(BR47:BR59)</f>
        <v>14180936811</v>
      </c>
      <c r="BS60" s="1023">
        <f>SUM(BS47:BS59)</f>
        <v>13353846185</v>
      </c>
    </row>
    <row r="61" spans="1:71" s="405" customFormat="1" ht="15" customHeight="1">
      <c r="A61" s="1113" t="s">
        <v>738</v>
      </c>
      <c r="B61" s="1030">
        <f t="shared" ref="B61:AG61" si="67">SUM(B46+B60)</f>
        <v>67843000</v>
      </c>
      <c r="C61" s="1030">
        <f t="shared" si="67"/>
        <v>62498100</v>
      </c>
      <c r="D61" s="1030">
        <f t="shared" si="67"/>
        <v>225005</v>
      </c>
      <c r="E61" s="1030">
        <f t="shared" si="67"/>
        <v>62738105</v>
      </c>
      <c r="F61" s="1030">
        <f t="shared" si="67"/>
        <v>53098115</v>
      </c>
      <c r="G61" s="1030">
        <f t="shared" si="67"/>
        <v>161037000</v>
      </c>
      <c r="H61" s="1030">
        <f t="shared" si="67"/>
        <v>198311500</v>
      </c>
      <c r="I61" s="1030">
        <f t="shared" si="67"/>
        <v>15950000</v>
      </c>
      <c r="J61" s="1030">
        <f t="shared" si="67"/>
        <v>222516500</v>
      </c>
      <c r="K61" s="1030">
        <f t="shared" si="67"/>
        <v>104791543</v>
      </c>
      <c r="L61" s="1030">
        <f t="shared" si="67"/>
        <v>239808000</v>
      </c>
      <c r="M61" s="1030">
        <f t="shared" si="67"/>
        <v>251114080</v>
      </c>
      <c r="N61" s="1030">
        <f t="shared" si="67"/>
        <v>-925916</v>
      </c>
      <c r="O61" s="1030">
        <f t="shared" si="67"/>
        <v>269354905</v>
      </c>
      <c r="P61" s="1030">
        <f t="shared" si="67"/>
        <v>219788335</v>
      </c>
      <c r="Q61" s="1030">
        <f t="shared" si="67"/>
        <v>2903834000</v>
      </c>
      <c r="R61" s="1030">
        <f t="shared" si="67"/>
        <v>3083903469</v>
      </c>
      <c r="S61" s="1030">
        <f t="shared" si="67"/>
        <v>44247769</v>
      </c>
      <c r="T61" s="1030">
        <f t="shared" si="67"/>
        <v>3174092069</v>
      </c>
      <c r="U61" s="1030">
        <f t="shared" si="67"/>
        <v>2085036950</v>
      </c>
      <c r="V61" s="1030">
        <f t="shared" si="67"/>
        <v>65902000</v>
      </c>
      <c r="W61" s="1030">
        <f t="shared" si="67"/>
        <v>78874000</v>
      </c>
      <c r="X61" s="1030">
        <f t="shared" si="67"/>
        <v>0</v>
      </c>
      <c r="Y61" s="1030">
        <f t="shared" si="67"/>
        <v>78874000</v>
      </c>
      <c r="Z61" s="1030">
        <f t="shared" si="67"/>
        <v>69891484</v>
      </c>
      <c r="AA61" s="1030">
        <f t="shared" si="67"/>
        <v>724698000</v>
      </c>
      <c r="AB61" s="1030">
        <f t="shared" si="67"/>
        <v>738024801</v>
      </c>
      <c r="AC61" s="1030">
        <f t="shared" si="67"/>
        <v>-10433319</v>
      </c>
      <c r="AD61" s="1030">
        <f t="shared" si="67"/>
        <v>711525115</v>
      </c>
      <c r="AE61" s="1030">
        <f t="shared" si="67"/>
        <v>516351176</v>
      </c>
      <c r="AF61" s="1030">
        <f t="shared" si="67"/>
        <v>8532577498</v>
      </c>
      <c r="AG61" s="1030">
        <f t="shared" si="67"/>
        <v>9668563227</v>
      </c>
      <c r="AH61" s="1030">
        <f t="shared" ref="AH61:BN61" si="68">SUM(AH46+AH60)</f>
        <v>-17267447</v>
      </c>
      <c r="AI61" s="1030">
        <f t="shared" si="68"/>
        <v>16141019333</v>
      </c>
      <c r="AJ61" s="1030">
        <f t="shared" si="68"/>
        <v>13546579405</v>
      </c>
      <c r="AK61" s="1030">
        <f t="shared" si="68"/>
        <v>0</v>
      </c>
      <c r="AL61" s="1030">
        <f t="shared" si="68"/>
        <v>0</v>
      </c>
      <c r="AM61" s="1030">
        <f t="shared" si="68"/>
        <v>0</v>
      </c>
      <c r="AN61" s="1030">
        <f t="shared" si="68"/>
        <v>22913082</v>
      </c>
      <c r="AO61" s="1030">
        <f t="shared" si="68"/>
        <v>22913082</v>
      </c>
      <c r="AP61" s="1030">
        <f t="shared" si="68"/>
        <v>0</v>
      </c>
      <c r="AQ61" s="1030">
        <f t="shared" si="68"/>
        <v>0</v>
      </c>
      <c r="AR61" s="1030">
        <f t="shared" si="68"/>
        <v>0</v>
      </c>
      <c r="AS61" s="1030">
        <f t="shared" si="68"/>
        <v>0</v>
      </c>
      <c r="AT61" s="1030">
        <f t="shared" si="68"/>
        <v>0</v>
      </c>
      <c r="AU61" s="1030">
        <f t="shared" si="68"/>
        <v>0</v>
      </c>
      <c r="AV61" s="1030">
        <f t="shared" si="68"/>
        <v>0</v>
      </c>
      <c r="AW61" s="1030">
        <f t="shared" si="68"/>
        <v>0</v>
      </c>
      <c r="AX61" s="1030">
        <f t="shared" si="68"/>
        <v>0</v>
      </c>
      <c r="AY61" s="1030">
        <f t="shared" si="68"/>
        <v>0</v>
      </c>
      <c r="AZ61" s="1030">
        <f t="shared" si="68"/>
        <v>0</v>
      </c>
      <c r="BA61" s="1030">
        <f t="shared" si="68"/>
        <v>0</v>
      </c>
      <c r="BB61" s="1030">
        <f t="shared" si="68"/>
        <v>0</v>
      </c>
      <c r="BC61" s="1030">
        <f t="shared" si="68"/>
        <v>0</v>
      </c>
      <c r="BD61" s="1030">
        <f t="shared" si="68"/>
        <v>0</v>
      </c>
      <c r="BE61" s="1030">
        <f t="shared" si="68"/>
        <v>0</v>
      </c>
      <c r="BF61" s="1030">
        <f t="shared" si="68"/>
        <v>0</v>
      </c>
      <c r="BG61" s="1030">
        <f t="shared" si="68"/>
        <v>0</v>
      </c>
      <c r="BH61" s="1030">
        <f t="shared" si="68"/>
        <v>0</v>
      </c>
      <c r="BI61" s="1030">
        <f t="shared" si="68"/>
        <v>0</v>
      </c>
      <c r="BJ61" s="1030">
        <f t="shared" si="68"/>
        <v>12695699498</v>
      </c>
      <c r="BK61" s="1030">
        <f t="shared" si="68"/>
        <v>14081289177</v>
      </c>
      <c r="BL61" s="1030">
        <f t="shared" si="68"/>
        <v>31796092</v>
      </c>
      <c r="BM61" s="1030">
        <f t="shared" si="68"/>
        <v>20683033109</v>
      </c>
      <c r="BN61" s="1030">
        <f t="shared" si="68"/>
        <v>16618450090</v>
      </c>
      <c r="BO61" s="1030">
        <f>SUM(BO46+BO60)</f>
        <v>14586221498</v>
      </c>
      <c r="BP61" s="1030">
        <f>SUM(BP46+BP60)</f>
        <v>16054183315</v>
      </c>
      <c r="BQ61" s="1030">
        <f>SUM(BQ46+BQ60)</f>
        <v>33255414</v>
      </c>
      <c r="BR61" s="1030">
        <f>SUM(BR46+BR60)</f>
        <v>22747052792</v>
      </c>
      <c r="BS61" s="1030">
        <f>SUM(BS46+BS60)</f>
        <v>18402338256</v>
      </c>
    </row>
    <row r="62" spans="1:71" ht="15" customHeight="1">
      <c r="A62" s="1105" t="s">
        <v>739</v>
      </c>
      <c r="B62" s="1647"/>
      <c r="C62" s="1099"/>
      <c r="D62" s="1099"/>
      <c r="E62" s="1099"/>
      <c r="F62" s="1099"/>
      <c r="G62" s="1099"/>
      <c r="H62" s="1099"/>
      <c r="I62" s="1099"/>
      <c r="J62" s="1099"/>
      <c r="K62" s="1099"/>
      <c r="L62" s="1099"/>
      <c r="M62" s="1099"/>
      <c r="N62" s="1099"/>
      <c r="O62" s="1099"/>
      <c r="P62" s="1099"/>
      <c r="Q62" s="1099"/>
      <c r="R62" s="1099"/>
      <c r="S62" s="1099"/>
      <c r="T62" s="1099"/>
      <c r="U62" s="1099"/>
      <c r="V62" s="1099"/>
      <c r="W62" s="1099"/>
      <c r="X62" s="1099"/>
      <c r="Y62" s="1099"/>
      <c r="Z62" s="1099"/>
      <c r="AA62" s="1099"/>
      <c r="AB62" s="1099"/>
      <c r="AC62" s="1099"/>
      <c r="AD62" s="1099"/>
      <c r="AE62" s="1099"/>
      <c r="AF62" s="1099"/>
      <c r="AG62" s="1099"/>
      <c r="AH62" s="1099"/>
      <c r="AI62" s="1099"/>
      <c r="AJ62" s="1099"/>
      <c r="AK62" s="1099"/>
      <c r="AL62" s="1099"/>
      <c r="AM62" s="1099"/>
      <c r="AN62" s="1099"/>
      <c r="AO62" s="1099"/>
      <c r="AP62" s="1099"/>
      <c r="AQ62" s="1099"/>
      <c r="AR62" s="1099"/>
      <c r="AS62" s="1099"/>
      <c r="AT62" s="1099"/>
      <c r="AU62" s="1099"/>
      <c r="AV62" s="1099"/>
      <c r="AW62" s="1099"/>
      <c r="AX62" s="1099"/>
      <c r="AY62" s="1099"/>
      <c r="AZ62" s="1099"/>
      <c r="BA62" s="1099"/>
      <c r="BB62" s="1099"/>
      <c r="BC62" s="1099"/>
      <c r="BD62" s="1099"/>
      <c r="BE62" s="1099"/>
      <c r="BF62" s="1099"/>
      <c r="BG62" s="1099"/>
      <c r="BH62" s="1099"/>
      <c r="BI62" s="1099"/>
      <c r="BJ62" s="1013"/>
      <c r="BK62" s="1013"/>
      <c r="BL62" s="1013"/>
      <c r="BM62" s="1013"/>
      <c r="BN62" s="809"/>
      <c r="BO62" s="1013"/>
      <c r="BP62" s="1013"/>
      <c r="BQ62" s="1090"/>
      <c r="BR62" s="1013"/>
      <c r="BS62" s="809"/>
    </row>
    <row r="63" spans="1:71" ht="15" hidden="1" customHeight="1">
      <c r="A63" s="1092" t="s">
        <v>740</v>
      </c>
      <c r="B63" s="404"/>
      <c r="C63" s="1099"/>
      <c r="D63" s="1099"/>
      <c r="E63" s="1099">
        <f t="shared" ref="E63:E76" si="69">SUM(C63:D63)</f>
        <v>0</v>
      </c>
      <c r="F63" s="1099"/>
      <c r="G63" s="1099"/>
      <c r="H63" s="1099"/>
      <c r="I63" s="1099"/>
      <c r="J63" s="1099">
        <f t="shared" ref="J63:J76" si="70">SUM(H63:I63)</f>
        <v>0</v>
      </c>
      <c r="K63" s="1099"/>
      <c r="L63" s="1099"/>
      <c r="M63" s="1099"/>
      <c r="N63" s="1099"/>
      <c r="O63" s="1099">
        <f t="shared" ref="O63:O75" si="71">SUM(M63:N63)</f>
        <v>0</v>
      </c>
      <c r="P63" s="1099"/>
      <c r="Q63" s="1099"/>
      <c r="R63" s="1099"/>
      <c r="S63" s="1099"/>
      <c r="T63" s="1099">
        <f t="shared" ref="T63:T68" si="72">SUM(R63:S63)</f>
        <v>0</v>
      </c>
      <c r="U63" s="1099"/>
      <c r="V63" s="1099"/>
      <c r="W63" s="1099"/>
      <c r="X63" s="1099"/>
      <c r="Y63" s="1099">
        <f t="shared" ref="Y63:Y68" si="73">SUM(W63:X63)</f>
        <v>0</v>
      </c>
      <c r="Z63" s="1099"/>
      <c r="AA63" s="1099"/>
      <c r="AB63" s="1099"/>
      <c r="AC63" s="1099"/>
      <c r="AD63" s="1099">
        <f>SUM(AB63:AC63)</f>
        <v>0</v>
      </c>
      <c r="AE63" s="1099"/>
      <c r="AF63" s="1099"/>
      <c r="AG63" s="1099"/>
      <c r="AH63" s="1099"/>
      <c r="AI63" s="1099">
        <f>SUM(AG63:AH63)</f>
        <v>0</v>
      </c>
      <c r="AJ63" s="1099"/>
      <c r="AK63" s="1099"/>
      <c r="AL63" s="1099"/>
      <c r="AM63" s="1099"/>
      <c r="AN63" s="1099">
        <f t="shared" ref="AN63:AN76" si="74">SUM(AL63:AM63)</f>
        <v>0</v>
      </c>
      <c r="AO63" s="1099"/>
      <c r="AP63" s="1099"/>
      <c r="AQ63" s="1099"/>
      <c r="AR63" s="1099"/>
      <c r="AS63" s="1099">
        <f t="shared" ref="AS63:AS76" si="75">SUM(AQ63:AR63)</f>
        <v>0</v>
      </c>
      <c r="AT63" s="1099"/>
      <c r="AU63" s="1099"/>
      <c r="AV63" s="1099"/>
      <c r="AW63" s="1099"/>
      <c r="AX63" s="1099">
        <f t="shared" ref="AX63:AX76" si="76">SUM(AV63:AW63)</f>
        <v>0</v>
      </c>
      <c r="AY63" s="1099"/>
      <c r="AZ63" s="1099"/>
      <c r="BA63" s="1094"/>
      <c r="BB63" s="1099"/>
      <c r="BC63" s="1099">
        <f t="shared" ref="BC63:BC76" si="77">SUM(BA63+BB63)</f>
        <v>0</v>
      </c>
      <c r="BD63" s="1099"/>
      <c r="BE63" s="1099"/>
      <c r="BF63" s="1094"/>
      <c r="BG63" s="1099"/>
      <c r="BH63" s="1099">
        <f t="shared" ref="BH63:BH76" si="78">SUM(BF63+BG63)</f>
        <v>0</v>
      </c>
      <c r="BI63" s="1099"/>
      <c r="BJ63" s="1013"/>
      <c r="BK63" s="1007">
        <f t="shared" ref="BK63:BK76" si="79">SUM(C63+H63+M63+R63+W63+AB63+AG63+AL63+AQ63+AV63+BA63+BF63)</f>
        <v>0</v>
      </c>
      <c r="BL63" s="1007">
        <f t="shared" ref="BL63:BL76" si="80">SUM(D63+I63+N63+S63+X63+AC63+AH63+AM63+AR63+AW63+BB63+BG63)</f>
        <v>0</v>
      </c>
      <c r="BM63" s="1013">
        <f>SUM(BK63+BL63)</f>
        <v>0</v>
      </c>
      <c r="BN63" s="1102"/>
      <c r="BO63" s="1013"/>
      <c r="BP63" s="1090">
        <f>M63+BF63</f>
        <v>0</v>
      </c>
      <c r="BQ63" s="1090">
        <f>N63+BG63</f>
        <v>0</v>
      </c>
      <c r="BR63" s="1013">
        <f>SUM(BP63:BQ63)</f>
        <v>0</v>
      </c>
    </row>
    <row r="64" spans="1:71" ht="15" customHeight="1">
      <c r="A64" s="1107" t="s">
        <v>741</v>
      </c>
      <c r="C64" s="1099"/>
      <c r="D64" s="1099"/>
      <c r="E64" s="1099">
        <f t="shared" si="69"/>
        <v>0</v>
      </c>
      <c r="F64" s="1019"/>
      <c r="G64" s="1099"/>
      <c r="H64" s="1099"/>
      <c r="I64" s="1099"/>
      <c r="J64" s="1099">
        <f t="shared" si="70"/>
        <v>0</v>
      </c>
      <c r="K64" s="1019"/>
      <c r="L64" s="1099"/>
      <c r="M64" s="1099"/>
      <c r="N64" s="1099"/>
      <c r="O64" s="1099">
        <f t="shared" si="71"/>
        <v>0</v>
      </c>
      <c r="P64" s="1019"/>
      <c r="Q64" s="1099"/>
      <c r="R64" s="1099"/>
      <c r="S64" s="1099"/>
      <c r="T64" s="1099">
        <f t="shared" si="72"/>
        <v>0</v>
      </c>
      <c r="U64" s="1019"/>
      <c r="V64" s="1099"/>
      <c r="W64" s="1099"/>
      <c r="X64" s="1099"/>
      <c r="Y64" s="1099">
        <f t="shared" si="73"/>
        <v>0</v>
      </c>
      <c r="Z64" s="1019"/>
      <c r="AA64" s="1099"/>
      <c r="AB64" s="1099"/>
      <c r="AC64" s="1099"/>
      <c r="AD64" s="1099">
        <f>SUM(AB64:AC64)</f>
        <v>0</v>
      </c>
      <c r="AE64" s="1019"/>
      <c r="AF64" s="1099">
        <v>2053432498</v>
      </c>
      <c r="AG64" s="1099">
        <v>2087946798</v>
      </c>
      <c r="AH64" s="1099">
        <v>19251710</v>
      </c>
      <c r="AI64" s="1099">
        <v>2197159113</v>
      </c>
      <c r="AJ64" s="1019">
        <v>2197159113</v>
      </c>
      <c r="AK64" s="1099"/>
      <c r="AL64" s="1099"/>
      <c r="AM64" s="1099"/>
      <c r="AN64" s="1099">
        <f t="shared" si="74"/>
        <v>0</v>
      </c>
      <c r="AO64" s="1019">
        <f t="shared" ref="AO64:AO76" si="81">AL64-AK64</f>
        <v>0</v>
      </c>
      <c r="AP64" s="1099"/>
      <c r="AQ64" s="1099"/>
      <c r="AR64" s="1099"/>
      <c r="AS64" s="1099">
        <f t="shared" si="75"/>
        <v>0</v>
      </c>
      <c r="AT64" s="1019">
        <f t="shared" ref="AT64:AT76" si="82">AQ64-AP64</f>
        <v>0</v>
      </c>
      <c r="AU64" s="1099"/>
      <c r="AV64" s="1099"/>
      <c r="AW64" s="1099"/>
      <c r="AX64" s="1099">
        <f t="shared" si="76"/>
        <v>0</v>
      </c>
      <c r="AY64" s="1019">
        <f t="shared" ref="AY64:AY76" si="83">AV64-AU64</f>
        <v>0</v>
      </c>
      <c r="AZ64" s="1099"/>
      <c r="BA64" s="1094"/>
      <c r="BB64" s="1099"/>
      <c r="BC64" s="1099">
        <f t="shared" si="77"/>
        <v>0</v>
      </c>
      <c r="BD64" s="1019">
        <f t="shared" ref="BD64:BD76" si="84">BA64-AZ64</f>
        <v>0</v>
      </c>
      <c r="BE64" s="1099"/>
      <c r="BF64" s="1094"/>
      <c r="BG64" s="1099"/>
      <c r="BH64" s="1099">
        <f t="shared" si="78"/>
        <v>0</v>
      </c>
      <c r="BI64" s="1019">
        <f t="shared" ref="BI64:BI76" si="85">BF64-BE64</f>
        <v>0</v>
      </c>
      <c r="BJ64" s="1007">
        <f t="shared" ref="BJ64:BJ76" si="86">SUM(B64+G64+L64+Q64+V64+AA64+AF64+AK64+AP64+AU64+AZ64+BE64)</f>
        <v>2053432498</v>
      </c>
      <c r="BK64" s="1007">
        <f t="shared" si="79"/>
        <v>2087946798</v>
      </c>
      <c r="BL64" s="1007">
        <f t="shared" si="80"/>
        <v>19251710</v>
      </c>
      <c r="BM64" s="1013">
        <f t="shared" ref="BM64:BN76" si="87">SUM(E64+J64+O64+T64+Y64+AD64+AI64+AN64+AS64+AX64+BC64+BH64)</f>
        <v>2197159113</v>
      </c>
      <c r="BN64" s="1013">
        <f t="shared" si="87"/>
        <v>2197159113</v>
      </c>
      <c r="BO64" s="1090">
        <f>BJ64+'4 bba Önkorm '!DM63</f>
        <v>2053432498</v>
      </c>
      <c r="BP64" s="1090">
        <f>BK64+'4 bba Önkorm '!DN63</f>
        <v>2087946798</v>
      </c>
      <c r="BQ64" s="1090">
        <f>BL64+'4 bba Önkorm '!DO63</f>
        <v>19251710</v>
      </c>
      <c r="BR64" s="1013">
        <f>BM64+'4 bba Önkorm '!DP63</f>
        <v>2197159113</v>
      </c>
      <c r="BS64" s="1013">
        <f>BN64+'4 bba Önkorm '!DQ63</f>
        <v>2197159113</v>
      </c>
    </row>
    <row r="65" spans="1:71" ht="15" customHeight="1">
      <c r="A65" s="1107" t="s">
        <v>742</v>
      </c>
      <c r="C65" s="1099"/>
      <c r="D65" s="1099"/>
      <c r="E65" s="1099">
        <f t="shared" si="69"/>
        <v>0</v>
      </c>
      <c r="F65" s="1019"/>
      <c r="G65" s="1099"/>
      <c r="H65" s="1099"/>
      <c r="I65" s="1099"/>
      <c r="J65" s="1099">
        <f t="shared" si="70"/>
        <v>0</v>
      </c>
      <c r="K65" s="1019"/>
      <c r="L65" s="1099"/>
      <c r="M65" s="1099"/>
      <c r="N65" s="1099"/>
      <c r="O65" s="1099">
        <f t="shared" si="71"/>
        <v>0</v>
      </c>
      <c r="P65" s="1019"/>
      <c r="Q65" s="1099"/>
      <c r="R65" s="1099"/>
      <c r="S65" s="1099"/>
      <c r="T65" s="1099">
        <f t="shared" si="72"/>
        <v>0</v>
      </c>
      <c r="U65" s="1019"/>
      <c r="V65" s="1099"/>
      <c r="W65" s="1099"/>
      <c r="X65" s="1099"/>
      <c r="Y65" s="1099">
        <f t="shared" si="73"/>
        <v>0</v>
      </c>
      <c r="Z65" s="1019"/>
      <c r="AA65" s="1099"/>
      <c r="AB65" s="1099"/>
      <c r="AC65" s="1099"/>
      <c r="AD65" s="1099">
        <f>SUM(AB65:AC65)</f>
        <v>0</v>
      </c>
      <c r="AE65" s="1019"/>
      <c r="AF65" s="1099"/>
      <c r="AG65" s="1099">
        <v>52257876</v>
      </c>
      <c r="AH65" s="1099"/>
      <c r="AI65" s="1099">
        <f>SUM(AG65:AH65)</f>
        <v>52257876</v>
      </c>
      <c r="AJ65" s="1019">
        <v>52257876</v>
      </c>
      <c r="AK65" s="1099"/>
      <c r="AL65" s="1099"/>
      <c r="AM65" s="1099"/>
      <c r="AN65" s="1099">
        <f t="shared" si="74"/>
        <v>0</v>
      </c>
      <c r="AO65" s="1019">
        <f t="shared" si="81"/>
        <v>0</v>
      </c>
      <c r="AP65" s="1099"/>
      <c r="AQ65" s="1099"/>
      <c r="AR65" s="1099"/>
      <c r="AS65" s="1099">
        <f t="shared" si="75"/>
        <v>0</v>
      </c>
      <c r="AT65" s="1019">
        <f t="shared" si="82"/>
        <v>0</v>
      </c>
      <c r="AU65" s="1099"/>
      <c r="AV65" s="1099"/>
      <c r="AW65" s="1099"/>
      <c r="AX65" s="1099">
        <f t="shared" si="76"/>
        <v>0</v>
      </c>
      <c r="AY65" s="1019">
        <f t="shared" si="83"/>
        <v>0</v>
      </c>
      <c r="AZ65" s="1099"/>
      <c r="BA65" s="1094"/>
      <c r="BB65" s="1099"/>
      <c r="BC65" s="1099">
        <f t="shared" si="77"/>
        <v>0</v>
      </c>
      <c r="BD65" s="1019">
        <f t="shared" si="84"/>
        <v>0</v>
      </c>
      <c r="BE65" s="1099"/>
      <c r="BF65" s="1094"/>
      <c r="BG65" s="1099"/>
      <c r="BH65" s="1099">
        <f t="shared" si="78"/>
        <v>0</v>
      </c>
      <c r="BI65" s="1019">
        <f t="shared" si="85"/>
        <v>0</v>
      </c>
      <c r="BJ65" s="1007">
        <f t="shared" si="86"/>
        <v>0</v>
      </c>
      <c r="BK65" s="1007">
        <f t="shared" si="79"/>
        <v>52257876</v>
      </c>
      <c r="BL65" s="1007">
        <f t="shared" si="80"/>
        <v>0</v>
      </c>
      <c r="BM65" s="1013">
        <f t="shared" si="87"/>
        <v>52257876</v>
      </c>
      <c r="BN65" s="1013">
        <f t="shared" si="87"/>
        <v>52257876</v>
      </c>
      <c r="BO65" s="1090">
        <f>BJ65+'4 bba Önkorm '!DM64</f>
        <v>0</v>
      </c>
      <c r="BP65" s="1090">
        <f>BK65+'4 bba Önkorm '!DN64</f>
        <v>52257876</v>
      </c>
      <c r="BQ65" s="1090">
        <f>BL65+'4 bba Önkorm '!DO64</f>
        <v>0</v>
      </c>
      <c r="BR65" s="1013">
        <f>BM65+'4 bba Önkorm '!DP64</f>
        <v>52257876</v>
      </c>
      <c r="BS65" s="1013">
        <f>BN65+'4 bba Önkorm '!DQ64</f>
        <v>52257876</v>
      </c>
    </row>
    <row r="66" spans="1:71" ht="15" customHeight="1">
      <c r="A66" s="405" t="s">
        <v>743</v>
      </c>
      <c r="B66" s="321"/>
      <c r="C66" s="1099"/>
      <c r="D66" s="1099"/>
      <c r="E66" s="1099">
        <f t="shared" si="69"/>
        <v>0</v>
      </c>
      <c r="F66" s="1019"/>
      <c r="G66" s="1099"/>
      <c r="H66" s="1099"/>
      <c r="I66" s="1099"/>
      <c r="J66" s="1099">
        <f t="shared" si="70"/>
        <v>0</v>
      </c>
      <c r="K66" s="1019"/>
      <c r="L66" s="1099"/>
      <c r="M66" s="1099"/>
      <c r="N66" s="1099"/>
      <c r="O66" s="1099">
        <f t="shared" si="71"/>
        <v>0</v>
      </c>
      <c r="P66" s="1019"/>
      <c r="Q66" s="1099"/>
      <c r="R66" s="1099"/>
      <c r="S66" s="1099"/>
      <c r="T66" s="1099">
        <f t="shared" si="72"/>
        <v>0</v>
      </c>
      <c r="U66" s="1019"/>
      <c r="V66" s="1099"/>
      <c r="W66" s="1099"/>
      <c r="X66" s="1099"/>
      <c r="Y66" s="1099">
        <f t="shared" si="73"/>
        <v>0</v>
      </c>
      <c r="Z66" s="1019"/>
      <c r="AA66" s="1099"/>
      <c r="AB66" s="1099"/>
      <c r="AC66" s="1099"/>
      <c r="AD66" s="1099">
        <f>SUM(AB66:AC66)</f>
        <v>0</v>
      </c>
      <c r="AE66" s="1019"/>
      <c r="AF66" s="1099"/>
      <c r="AG66" s="1099"/>
      <c r="AH66" s="1099"/>
      <c r="AI66" s="1099">
        <f>SUM(AG66:AH66)</f>
        <v>0</v>
      </c>
      <c r="AJ66" s="1019"/>
      <c r="AK66" s="1099"/>
      <c r="AL66" s="1099"/>
      <c r="AM66" s="1099"/>
      <c r="AN66" s="1099">
        <f t="shared" si="74"/>
        <v>0</v>
      </c>
      <c r="AO66" s="1019">
        <f t="shared" si="81"/>
        <v>0</v>
      </c>
      <c r="AP66" s="1099"/>
      <c r="AQ66" s="1099"/>
      <c r="AR66" s="1099"/>
      <c r="AS66" s="1099">
        <f t="shared" si="75"/>
        <v>0</v>
      </c>
      <c r="AT66" s="1019">
        <f t="shared" si="82"/>
        <v>0</v>
      </c>
      <c r="AU66" s="1099"/>
      <c r="AV66" s="1099"/>
      <c r="AW66" s="1099"/>
      <c r="AX66" s="1099">
        <f t="shared" si="76"/>
        <v>0</v>
      </c>
      <c r="AY66" s="1019">
        <f t="shared" si="83"/>
        <v>0</v>
      </c>
      <c r="AZ66" s="1099"/>
      <c r="BA66" s="1094"/>
      <c r="BB66" s="1099"/>
      <c r="BC66" s="1099">
        <f t="shared" si="77"/>
        <v>0</v>
      </c>
      <c r="BD66" s="1019">
        <f t="shared" si="84"/>
        <v>0</v>
      </c>
      <c r="BE66" s="1099"/>
      <c r="BF66" s="1094"/>
      <c r="BG66" s="1099"/>
      <c r="BH66" s="1099">
        <f t="shared" si="78"/>
        <v>0</v>
      </c>
      <c r="BI66" s="1019">
        <f t="shared" si="85"/>
        <v>0</v>
      </c>
      <c r="BJ66" s="1007">
        <f t="shared" si="86"/>
        <v>0</v>
      </c>
      <c r="BK66" s="1007">
        <f t="shared" si="79"/>
        <v>0</v>
      </c>
      <c r="BL66" s="1007">
        <f t="shared" si="80"/>
        <v>0</v>
      </c>
      <c r="BM66" s="1013">
        <f t="shared" si="87"/>
        <v>0</v>
      </c>
      <c r="BN66" s="1013">
        <f t="shared" si="87"/>
        <v>0</v>
      </c>
      <c r="BO66" s="1090">
        <f>BJ66+'4 bba Önkorm '!DM65</f>
        <v>0</v>
      </c>
      <c r="BP66" s="1090">
        <f>BK66+'4 bba Önkorm '!DN65</f>
        <v>0</v>
      </c>
      <c r="BQ66" s="1090">
        <f>BL66+'4 bba Önkorm '!DO65</f>
        <v>0</v>
      </c>
      <c r="BR66" s="1013">
        <f>BM66+'4 bba Önkorm '!DP65</f>
        <v>0</v>
      </c>
      <c r="BS66" s="1013">
        <f>BN66+'4 bba Önkorm '!DQ65</f>
        <v>0</v>
      </c>
    </row>
    <row r="67" spans="1:71" ht="15" customHeight="1">
      <c r="A67" s="630" t="s">
        <v>744</v>
      </c>
      <c r="C67" s="1099"/>
      <c r="D67" s="1099"/>
      <c r="E67" s="1099">
        <f t="shared" si="69"/>
        <v>0</v>
      </c>
      <c r="F67" s="1019"/>
      <c r="G67" s="1099"/>
      <c r="H67" s="1099"/>
      <c r="I67" s="1099"/>
      <c r="J67" s="1099">
        <f t="shared" si="70"/>
        <v>0</v>
      </c>
      <c r="K67" s="1019"/>
      <c r="L67" s="1099"/>
      <c r="M67" s="1099"/>
      <c r="N67" s="1099"/>
      <c r="O67" s="1099">
        <f t="shared" si="71"/>
        <v>0</v>
      </c>
      <c r="P67" s="1019"/>
      <c r="Q67" s="1099"/>
      <c r="R67" s="1099"/>
      <c r="S67" s="1099"/>
      <c r="T67" s="1099">
        <f t="shared" si="72"/>
        <v>0</v>
      </c>
      <c r="U67" s="1019"/>
      <c r="V67" s="1099"/>
      <c r="W67" s="1099"/>
      <c r="X67" s="1099"/>
      <c r="Y67" s="1099">
        <f t="shared" si="73"/>
        <v>0</v>
      </c>
      <c r="Z67" s="1019"/>
      <c r="AA67" s="1099"/>
      <c r="AB67" s="1099"/>
      <c r="AC67" s="1099"/>
      <c r="AD67" s="1099">
        <f>SUM(AB67:AC67)</f>
        <v>0</v>
      </c>
      <c r="AE67" s="1019"/>
      <c r="AF67" s="1099"/>
      <c r="AG67" s="1099"/>
      <c r="AH67" s="1099"/>
      <c r="AI67" s="1099">
        <f>SUM(AG67:AH67)</f>
        <v>0</v>
      </c>
      <c r="AJ67" s="1019"/>
      <c r="AK67" s="1099"/>
      <c r="AL67" s="1099"/>
      <c r="AM67" s="1099"/>
      <c r="AN67" s="1099">
        <f t="shared" si="74"/>
        <v>0</v>
      </c>
      <c r="AO67" s="1019">
        <f t="shared" si="81"/>
        <v>0</v>
      </c>
      <c r="AP67" s="1099"/>
      <c r="AQ67" s="1099"/>
      <c r="AR67" s="1099"/>
      <c r="AS67" s="1099">
        <f t="shared" si="75"/>
        <v>0</v>
      </c>
      <c r="AT67" s="1019">
        <f t="shared" si="82"/>
        <v>0</v>
      </c>
      <c r="AU67" s="1099"/>
      <c r="AV67" s="1099"/>
      <c r="AW67" s="1099"/>
      <c r="AX67" s="1099">
        <f t="shared" si="76"/>
        <v>0</v>
      </c>
      <c r="AY67" s="1019">
        <f t="shared" si="83"/>
        <v>0</v>
      </c>
      <c r="AZ67" s="1099"/>
      <c r="BA67" s="1094"/>
      <c r="BB67" s="1099"/>
      <c r="BC67" s="1099">
        <f t="shared" si="77"/>
        <v>0</v>
      </c>
      <c r="BD67" s="1019">
        <f t="shared" si="84"/>
        <v>0</v>
      </c>
      <c r="BE67" s="1099"/>
      <c r="BF67" s="1094"/>
      <c r="BG67" s="1099"/>
      <c r="BH67" s="1099">
        <f t="shared" si="78"/>
        <v>0</v>
      </c>
      <c r="BI67" s="1019">
        <f t="shared" si="85"/>
        <v>0</v>
      </c>
      <c r="BJ67" s="1007">
        <f t="shared" si="86"/>
        <v>0</v>
      </c>
      <c r="BK67" s="1007">
        <f t="shared" si="79"/>
        <v>0</v>
      </c>
      <c r="BL67" s="1007">
        <f t="shared" si="80"/>
        <v>0</v>
      </c>
      <c r="BM67" s="1013">
        <f t="shared" si="87"/>
        <v>0</v>
      </c>
      <c r="BN67" s="1013">
        <f t="shared" si="87"/>
        <v>0</v>
      </c>
      <c r="BO67" s="1090">
        <f>BJ67+'4 bba Önkorm '!DM66</f>
        <v>0</v>
      </c>
      <c r="BP67" s="1090">
        <f>BK67+'4 bba Önkorm '!DN66</f>
        <v>0</v>
      </c>
      <c r="BQ67" s="1090">
        <f>BL67+'4 bba Önkorm '!DO66</f>
        <v>0</v>
      </c>
      <c r="BR67" s="1013">
        <f>BM67+'4 bba Önkorm '!DP66</f>
        <v>0</v>
      </c>
      <c r="BS67" s="1013">
        <f>BN67+'4 bba Önkorm '!DQ66</f>
        <v>0</v>
      </c>
    </row>
    <row r="68" spans="1:71" ht="15" customHeight="1">
      <c r="A68" s="1092" t="s">
        <v>745</v>
      </c>
      <c r="B68" s="404"/>
      <c r="C68" s="1099"/>
      <c r="D68" s="1099"/>
      <c r="E68" s="1099">
        <f t="shared" si="69"/>
        <v>0</v>
      </c>
      <c r="F68" s="1019"/>
      <c r="G68" s="1099"/>
      <c r="H68" s="1099"/>
      <c r="I68" s="1099"/>
      <c r="J68" s="1099">
        <f t="shared" si="70"/>
        <v>0</v>
      </c>
      <c r="K68" s="1019"/>
      <c r="L68" s="1099"/>
      <c r="M68" s="1099"/>
      <c r="N68" s="1099"/>
      <c r="O68" s="1099">
        <f t="shared" si="71"/>
        <v>0</v>
      </c>
      <c r="P68" s="1019"/>
      <c r="Q68" s="1099">
        <v>33367000</v>
      </c>
      <c r="R68" s="1099">
        <v>33367000</v>
      </c>
      <c r="S68" s="1099">
        <v>-33367000</v>
      </c>
      <c r="T68" s="1099">
        <f t="shared" si="72"/>
        <v>0</v>
      </c>
      <c r="U68" s="1019"/>
      <c r="V68" s="1099">
        <v>3240000</v>
      </c>
      <c r="W68" s="1099">
        <v>3240000</v>
      </c>
      <c r="X68" s="1099"/>
      <c r="Y68" s="1099">
        <f t="shared" si="73"/>
        <v>3240000</v>
      </c>
      <c r="Z68" s="1019">
        <v>3240000</v>
      </c>
      <c r="AA68" s="1099">
        <v>25429000</v>
      </c>
      <c r="AB68" s="1099">
        <v>25429000</v>
      </c>
      <c r="AC68" s="1099"/>
      <c r="AD68" s="1099">
        <v>31571940</v>
      </c>
      <c r="AE68" s="1019">
        <v>31351614</v>
      </c>
      <c r="AF68" s="1099"/>
      <c r="AG68" s="1099"/>
      <c r="AH68" s="1099"/>
      <c r="AI68" s="1099">
        <f>SUM(AG68:AH68)</f>
        <v>0</v>
      </c>
      <c r="AJ68" s="1019"/>
      <c r="AK68" s="1099"/>
      <c r="AL68" s="1099"/>
      <c r="AM68" s="1099"/>
      <c r="AN68" s="1099">
        <f t="shared" si="74"/>
        <v>0</v>
      </c>
      <c r="AO68" s="1019">
        <f t="shared" si="81"/>
        <v>0</v>
      </c>
      <c r="AP68" s="1099"/>
      <c r="AQ68" s="1099"/>
      <c r="AR68" s="1099"/>
      <c r="AS68" s="1099">
        <f t="shared" si="75"/>
        <v>0</v>
      </c>
      <c r="AT68" s="1019">
        <f t="shared" si="82"/>
        <v>0</v>
      </c>
      <c r="AU68" s="1099"/>
      <c r="AV68" s="1099"/>
      <c r="AW68" s="1099"/>
      <c r="AX68" s="1099">
        <f t="shared" si="76"/>
        <v>0</v>
      </c>
      <c r="AY68" s="1019">
        <f t="shared" si="83"/>
        <v>0</v>
      </c>
      <c r="AZ68" s="1099"/>
      <c r="BA68" s="1094"/>
      <c r="BB68" s="1099"/>
      <c r="BC68" s="1099">
        <f t="shared" si="77"/>
        <v>0</v>
      </c>
      <c r="BD68" s="1019">
        <f t="shared" si="84"/>
        <v>0</v>
      </c>
      <c r="BE68" s="1099"/>
      <c r="BF68" s="1094"/>
      <c r="BG68" s="1099"/>
      <c r="BH68" s="1099">
        <f t="shared" si="78"/>
        <v>0</v>
      </c>
      <c r="BI68" s="1019">
        <f t="shared" si="85"/>
        <v>0</v>
      </c>
      <c r="BJ68" s="1007">
        <f t="shared" si="86"/>
        <v>62036000</v>
      </c>
      <c r="BK68" s="1007">
        <f t="shared" si="79"/>
        <v>62036000</v>
      </c>
      <c r="BL68" s="1007">
        <f t="shared" si="80"/>
        <v>-33367000</v>
      </c>
      <c r="BM68" s="1013">
        <f t="shared" si="87"/>
        <v>34811940</v>
      </c>
      <c r="BN68" s="1013">
        <f t="shared" si="87"/>
        <v>34591614</v>
      </c>
      <c r="BO68" s="1090">
        <f>BJ68+'4 bba Önkorm '!DM67</f>
        <v>124371000</v>
      </c>
      <c r="BP68" s="1090">
        <f>BK68+'4 bba Önkorm '!DN67</f>
        <v>124371000</v>
      </c>
      <c r="BQ68" s="1090">
        <f>BL68+'4 bba Önkorm '!DO67</f>
        <v>-28778653</v>
      </c>
      <c r="BR68" s="1013">
        <f>BM68+'4 bba Önkorm '!DP67</f>
        <v>101735287</v>
      </c>
      <c r="BS68" s="1013">
        <f>BN68+'4 bba Önkorm '!DQ67</f>
        <v>101514961</v>
      </c>
    </row>
    <row r="69" spans="1:71" ht="15" customHeight="1">
      <c r="A69" s="1107" t="s">
        <v>746</v>
      </c>
      <c r="C69" s="1099"/>
      <c r="D69" s="1099"/>
      <c r="E69" s="1099">
        <f t="shared" si="69"/>
        <v>0</v>
      </c>
      <c r="F69" s="1019"/>
      <c r="G69" s="1099"/>
      <c r="H69" s="1099"/>
      <c r="I69" s="1099"/>
      <c r="J69" s="1099">
        <f t="shared" si="70"/>
        <v>0</v>
      </c>
      <c r="K69" s="1019"/>
      <c r="L69" s="1099"/>
      <c r="M69" s="1099"/>
      <c r="N69" s="1099"/>
      <c r="O69" s="1099">
        <f t="shared" si="71"/>
        <v>0</v>
      </c>
      <c r="P69" s="1019"/>
      <c r="Q69" s="1099"/>
      <c r="R69" s="1099"/>
      <c r="S69" s="1099"/>
      <c r="T69" s="1099">
        <v>174600</v>
      </c>
      <c r="U69" s="1019"/>
      <c r="V69" s="1099">
        <v>21000000</v>
      </c>
      <c r="W69" s="1099">
        <v>21000000</v>
      </c>
      <c r="X69" s="1099"/>
      <c r="Y69" s="1099">
        <v>55970000</v>
      </c>
      <c r="Z69" s="1019">
        <v>46995000</v>
      </c>
      <c r="AA69" s="1099"/>
      <c r="AB69" s="1099"/>
      <c r="AC69" s="1099"/>
      <c r="AD69" s="1099">
        <v>10000</v>
      </c>
      <c r="AE69" s="1019">
        <v>10000</v>
      </c>
      <c r="AF69" s="1099">
        <v>8329776000</v>
      </c>
      <c r="AG69" s="1099">
        <v>8402876000</v>
      </c>
      <c r="AH69" s="1099"/>
      <c r="AI69" s="1099">
        <v>8617526240</v>
      </c>
      <c r="AJ69" s="1019">
        <f>5676838534+2937259685</f>
        <v>8614098219</v>
      </c>
      <c r="AK69" s="1099"/>
      <c r="AL69" s="1099"/>
      <c r="AM69" s="1099"/>
      <c r="AN69" s="1099">
        <f t="shared" si="74"/>
        <v>0</v>
      </c>
      <c r="AO69" s="1019">
        <f t="shared" si="81"/>
        <v>0</v>
      </c>
      <c r="AP69" s="1099"/>
      <c r="AQ69" s="1099"/>
      <c r="AR69" s="1099"/>
      <c r="AS69" s="1099">
        <f t="shared" si="75"/>
        <v>0</v>
      </c>
      <c r="AT69" s="1019">
        <f t="shared" si="82"/>
        <v>0</v>
      </c>
      <c r="AU69" s="1099"/>
      <c r="AV69" s="1099"/>
      <c r="AW69" s="1099"/>
      <c r="AX69" s="1099">
        <f t="shared" si="76"/>
        <v>0</v>
      </c>
      <c r="AY69" s="1019">
        <f t="shared" si="83"/>
        <v>0</v>
      </c>
      <c r="AZ69" s="1099"/>
      <c r="BA69" s="1094"/>
      <c r="BB69" s="1099"/>
      <c r="BC69" s="1099">
        <f t="shared" si="77"/>
        <v>0</v>
      </c>
      <c r="BD69" s="1019">
        <f t="shared" si="84"/>
        <v>0</v>
      </c>
      <c r="BE69" s="1099"/>
      <c r="BF69" s="1094"/>
      <c r="BG69" s="1099"/>
      <c r="BH69" s="1099">
        <f t="shared" si="78"/>
        <v>0</v>
      </c>
      <c r="BI69" s="1019">
        <f t="shared" si="85"/>
        <v>0</v>
      </c>
      <c r="BJ69" s="1007">
        <f t="shared" si="86"/>
        <v>8350776000</v>
      </c>
      <c r="BK69" s="1007">
        <f t="shared" si="79"/>
        <v>8423876000</v>
      </c>
      <c r="BL69" s="1007">
        <f t="shared" si="80"/>
        <v>0</v>
      </c>
      <c r="BM69" s="1013">
        <f t="shared" si="87"/>
        <v>8673680840</v>
      </c>
      <c r="BN69" s="1013">
        <f t="shared" si="87"/>
        <v>8661103219</v>
      </c>
      <c r="BO69" s="1090">
        <f>BJ69+'4 bba Önkorm '!DM68</f>
        <v>8350776000</v>
      </c>
      <c r="BP69" s="1090">
        <f>BK69+'4 bba Önkorm '!DN68</f>
        <v>8423876000</v>
      </c>
      <c r="BQ69" s="1090">
        <f>BL69+'4 bba Önkorm '!DO68</f>
        <v>0</v>
      </c>
      <c r="BR69" s="1013">
        <f>BM69+'4 bba Önkorm '!DP68</f>
        <v>8673680840</v>
      </c>
      <c r="BS69" s="1013">
        <f>BN69+'4 bba Önkorm '!DQ68</f>
        <v>8661103219</v>
      </c>
    </row>
    <row r="70" spans="1:71" ht="15" hidden="1" customHeight="1">
      <c r="A70" s="1107" t="s">
        <v>747</v>
      </c>
      <c r="C70" s="1099"/>
      <c r="D70" s="1099"/>
      <c r="E70" s="1099">
        <f t="shared" si="69"/>
        <v>0</v>
      </c>
      <c r="F70" s="1019"/>
      <c r="G70" s="1099"/>
      <c r="H70" s="1099"/>
      <c r="I70" s="1099"/>
      <c r="J70" s="1099">
        <f t="shared" si="70"/>
        <v>0</v>
      </c>
      <c r="K70" s="1019"/>
      <c r="L70" s="1099"/>
      <c r="M70" s="1099"/>
      <c r="N70" s="1099"/>
      <c r="O70" s="1099">
        <f t="shared" si="71"/>
        <v>0</v>
      </c>
      <c r="P70" s="1019"/>
      <c r="Q70" s="1099"/>
      <c r="R70" s="1099"/>
      <c r="S70" s="1099"/>
      <c r="T70" s="1099">
        <f>SUM(R70:S70)</f>
        <v>0</v>
      </c>
      <c r="U70" s="1019"/>
      <c r="V70" s="1099"/>
      <c r="W70" s="1099"/>
      <c r="X70" s="1099"/>
      <c r="Y70" s="1099">
        <f>SUM(W70:X70)</f>
        <v>0</v>
      </c>
      <c r="Z70" s="1019"/>
      <c r="AA70" s="1099"/>
      <c r="AB70" s="1099"/>
      <c r="AC70" s="1099"/>
      <c r="AD70" s="1099">
        <f>SUM(AB70:AC70)</f>
        <v>0</v>
      </c>
      <c r="AE70" s="1019"/>
      <c r="AF70" s="1099"/>
      <c r="AG70" s="1099"/>
      <c r="AH70" s="1099"/>
      <c r="AI70" s="1099">
        <f>SUM(AG70:AH70)</f>
        <v>0</v>
      </c>
      <c r="AJ70" s="1019"/>
      <c r="AK70" s="1099"/>
      <c r="AL70" s="1099"/>
      <c r="AM70" s="1099"/>
      <c r="AN70" s="1099">
        <f t="shared" si="74"/>
        <v>0</v>
      </c>
      <c r="AO70" s="1019">
        <f t="shared" si="81"/>
        <v>0</v>
      </c>
      <c r="AP70" s="1099"/>
      <c r="AQ70" s="1099"/>
      <c r="AR70" s="1099"/>
      <c r="AS70" s="1099">
        <f t="shared" si="75"/>
        <v>0</v>
      </c>
      <c r="AT70" s="1019">
        <f t="shared" si="82"/>
        <v>0</v>
      </c>
      <c r="AU70" s="1099"/>
      <c r="AV70" s="1099"/>
      <c r="AW70" s="1099"/>
      <c r="AX70" s="1099">
        <f t="shared" si="76"/>
        <v>0</v>
      </c>
      <c r="AY70" s="1019">
        <f t="shared" si="83"/>
        <v>0</v>
      </c>
      <c r="AZ70" s="1099"/>
      <c r="BA70" s="1094"/>
      <c r="BB70" s="1099"/>
      <c r="BC70" s="1099">
        <f t="shared" si="77"/>
        <v>0</v>
      </c>
      <c r="BD70" s="1019">
        <f t="shared" si="84"/>
        <v>0</v>
      </c>
      <c r="BE70" s="1099"/>
      <c r="BF70" s="1094"/>
      <c r="BG70" s="1099"/>
      <c r="BH70" s="1099">
        <f t="shared" si="78"/>
        <v>0</v>
      </c>
      <c r="BI70" s="1019">
        <f t="shared" si="85"/>
        <v>0</v>
      </c>
      <c r="BJ70" s="1007">
        <f t="shared" si="86"/>
        <v>0</v>
      </c>
      <c r="BK70" s="1007">
        <f t="shared" si="79"/>
        <v>0</v>
      </c>
      <c r="BL70" s="1007">
        <f t="shared" si="80"/>
        <v>0</v>
      </c>
      <c r="BM70" s="1013">
        <f t="shared" si="87"/>
        <v>0</v>
      </c>
      <c r="BN70" s="1013">
        <f t="shared" si="87"/>
        <v>0</v>
      </c>
      <c r="BO70" s="1090">
        <f>BJ70+'4 bba Önkorm '!DM69</f>
        <v>0</v>
      </c>
      <c r="BP70" s="1090">
        <f>BK70+'4 bba Önkorm '!DN69</f>
        <v>0</v>
      </c>
      <c r="BQ70" s="1090">
        <f>BL70+'4 bba Önkorm '!DO69</f>
        <v>0</v>
      </c>
      <c r="BR70" s="1013">
        <f>BM70+'4 bba Önkorm '!DP69</f>
        <v>0</v>
      </c>
      <c r="BS70" s="1013">
        <f>BN70+'4 bba Önkorm '!DQ69</f>
        <v>0</v>
      </c>
    </row>
    <row r="71" spans="1:71" ht="15" hidden="1" customHeight="1">
      <c r="A71" s="1092" t="s">
        <v>748</v>
      </c>
      <c r="B71" s="404"/>
      <c r="C71" s="1099"/>
      <c r="D71" s="1099"/>
      <c r="E71" s="1099">
        <f t="shared" si="69"/>
        <v>0</v>
      </c>
      <c r="F71" s="1019"/>
      <c r="G71" s="1099"/>
      <c r="H71" s="1099"/>
      <c r="I71" s="1099"/>
      <c r="J71" s="1099">
        <f t="shared" si="70"/>
        <v>0</v>
      </c>
      <c r="K71" s="1019"/>
      <c r="L71" s="1099"/>
      <c r="M71" s="1099"/>
      <c r="N71" s="1099"/>
      <c r="O71" s="1099">
        <f t="shared" si="71"/>
        <v>0</v>
      </c>
      <c r="P71" s="1019"/>
      <c r="Q71" s="1099"/>
      <c r="R71" s="1099"/>
      <c r="S71" s="1099"/>
      <c r="T71" s="1099">
        <f>SUM(R71:S71)</f>
        <v>0</v>
      </c>
      <c r="U71" s="1019"/>
      <c r="V71" s="1099"/>
      <c r="W71" s="1099"/>
      <c r="X71" s="1099"/>
      <c r="Y71" s="1099">
        <f>SUM(W71:X71)</f>
        <v>0</v>
      </c>
      <c r="Z71" s="1019"/>
      <c r="AA71" s="1099"/>
      <c r="AB71" s="1099"/>
      <c r="AC71" s="1099"/>
      <c r="AD71" s="1099">
        <f>SUM(AB71:AC71)</f>
        <v>0</v>
      </c>
      <c r="AE71" s="1019"/>
      <c r="AF71" s="1099"/>
      <c r="AG71" s="1099"/>
      <c r="AH71" s="1099"/>
      <c r="AI71" s="1099">
        <f>SUM(AG71:AH71)</f>
        <v>0</v>
      </c>
      <c r="AJ71" s="1019"/>
      <c r="AK71" s="1099"/>
      <c r="AL71" s="1099"/>
      <c r="AM71" s="1099"/>
      <c r="AN71" s="1099">
        <f t="shared" si="74"/>
        <v>0</v>
      </c>
      <c r="AO71" s="1019">
        <f t="shared" si="81"/>
        <v>0</v>
      </c>
      <c r="AP71" s="1099"/>
      <c r="AQ71" s="1099"/>
      <c r="AR71" s="1099"/>
      <c r="AS71" s="1099">
        <f t="shared" si="75"/>
        <v>0</v>
      </c>
      <c r="AT71" s="1019">
        <f t="shared" si="82"/>
        <v>0</v>
      </c>
      <c r="AU71" s="1099"/>
      <c r="AV71" s="1099"/>
      <c r="AW71" s="1099"/>
      <c r="AX71" s="1099">
        <f t="shared" si="76"/>
        <v>0</v>
      </c>
      <c r="AY71" s="1019">
        <f t="shared" si="83"/>
        <v>0</v>
      </c>
      <c r="AZ71" s="1099"/>
      <c r="BA71" s="1094"/>
      <c r="BB71" s="1099"/>
      <c r="BC71" s="1099">
        <f t="shared" si="77"/>
        <v>0</v>
      </c>
      <c r="BD71" s="1019">
        <f t="shared" si="84"/>
        <v>0</v>
      </c>
      <c r="BE71" s="1099"/>
      <c r="BF71" s="1094"/>
      <c r="BG71" s="1099"/>
      <c r="BH71" s="1099">
        <f t="shared" si="78"/>
        <v>0</v>
      </c>
      <c r="BI71" s="1019">
        <f t="shared" si="85"/>
        <v>0</v>
      </c>
      <c r="BJ71" s="1007">
        <f t="shared" si="86"/>
        <v>0</v>
      </c>
      <c r="BK71" s="1007">
        <f t="shared" si="79"/>
        <v>0</v>
      </c>
      <c r="BL71" s="1007">
        <f t="shared" si="80"/>
        <v>0</v>
      </c>
      <c r="BM71" s="1013">
        <f t="shared" si="87"/>
        <v>0</v>
      </c>
      <c r="BN71" s="1013">
        <f t="shared" si="87"/>
        <v>0</v>
      </c>
      <c r="BO71" s="1090">
        <f>BJ71+'4 bba Önkorm '!DM70</f>
        <v>0</v>
      </c>
      <c r="BP71" s="1090">
        <f>BK71+'4 bba Önkorm '!DN70</f>
        <v>0</v>
      </c>
      <c r="BQ71" s="1090">
        <f>BL71+'4 bba Önkorm '!DO70</f>
        <v>0</v>
      </c>
      <c r="BR71" s="1013">
        <f>BM71+'4 bba Önkorm '!DP70</f>
        <v>0</v>
      </c>
      <c r="BS71" s="1013">
        <f>BN71+'4 bba Önkorm '!DQ70</f>
        <v>0</v>
      </c>
    </row>
    <row r="72" spans="1:71" ht="15" hidden="1" customHeight="1">
      <c r="A72" s="1092" t="s">
        <v>749</v>
      </c>
      <c r="B72" s="404"/>
      <c r="C72" s="1099"/>
      <c r="D72" s="1099"/>
      <c r="E72" s="1099">
        <f t="shared" si="69"/>
        <v>0</v>
      </c>
      <c r="F72" s="1019"/>
      <c r="G72" s="1099"/>
      <c r="H72" s="1099"/>
      <c r="I72" s="1099"/>
      <c r="J72" s="1099">
        <f t="shared" si="70"/>
        <v>0</v>
      </c>
      <c r="K72" s="1019"/>
      <c r="L72" s="1099"/>
      <c r="M72" s="1099"/>
      <c r="N72" s="1099"/>
      <c r="O72" s="1099">
        <f t="shared" si="71"/>
        <v>0</v>
      </c>
      <c r="P72" s="1019"/>
      <c r="Q72" s="1099"/>
      <c r="R72" s="1099"/>
      <c r="S72" s="1099"/>
      <c r="T72" s="1099">
        <f>SUM(R72:S72)</f>
        <v>0</v>
      </c>
      <c r="U72" s="1019"/>
      <c r="V72" s="1099"/>
      <c r="W72" s="1099"/>
      <c r="X72" s="1099"/>
      <c r="Y72" s="1099">
        <f>SUM(W72:X72)</f>
        <v>0</v>
      </c>
      <c r="Z72" s="1019"/>
      <c r="AA72" s="1099"/>
      <c r="AB72" s="1099"/>
      <c r="AC72" s="1099"/>
      <c r="AD72" s="1099">
        <f>SUM(AB72:AC72)</f>
        <v>0</v>
      </c>
      <c r="AE72" s="1019"/>
      <c r="AF72" s="1099"/>
      <c r="AG72" s="1099"/>
      <c r="AH72" s="1099"/>
      <c r="AI72" s="1099">
        <f>SUM(AG72:AH72)</f>
        <v>0</v>
      </c>
      <c r="AJ72" s="1019"/>
      <c r="AK72" s="1099"/>
      <c r="AL72" s="1099"/>
      <c r="AM72" s="1099"/>
      <c r="AN72" s="1099">
        <f t="shared" si="74"/>
        <v>0</v>
      </c>
      <c r="AO72" s="1019">
        <f t="shared" si="81"/>
        <v>0</v>
      </c>
      <c r="AP72" s="1099"/>
      <c r="AQ72" s="1099"/>
      <c r="AR72" s="1099"/>
      <c r="AS72" s="1099">
        <f t="shared" si="75"/>
        <v>0</v>
      </c>
      <c r="AT72" s="1019">
        <f t="shared" si="82"/>
        <v>0</v>
      </c>
      <c r="AU72" s="1099"/>
      <c r="AV72" s="1099"/>
      <c r="AW72" s="1099"/>
      <c r="AX72" s="1099">
        <f t="shared" si="76"/>
        <v>0</v>
      </c>
      <c r="AY72" s="1019">
        <f t="shared" si="83"/>
        <v>0</v>
      </c>
      <c r="AZ72" s="1099"/>
      <c r="BA72" s="1094"/>
      <c r="BB72" s="1099"/>
      <c r="BC72" s="1099">
        <f t="shared" si="77"/>
        <v>0</v>
      </c>
      <c r="BD72" s="1019">
        <f t="shared" si="84"/>
        <v>0</v>
      </c>
      <c r="BE72" s="1099"/>
      <c r="BF72" s="1094"/>
      <c r="BG72" s="1099"/>
      <c r="BH72" s="1099">
        <f t="shared" si="78"/>
        <v>0</v>
      </c>
      <c r="BI72" s="1019">
        <f t="shared" si="85"/>
        <v>0</v>
      </c>
      <c r="BJ72" s="1007">
        <f t="shared" si="86"/>
        <v>0</v>
      </c>
      <c r="BK72" s="1007">
        <f t="shared" si="79"/>
        <v>0</v>
      </c>
      <c r="BL72" s="1007">
        <f t="shared" si="80"/>
        <v>0</v>
      </c>
      <c r="BM72" s="1013">
        <f t="shared" si="87"/>
        <v>0</v>
      </c>
      <c r="BN72" s="1013">
        <f t="shared" si="87"/>
        <v>0</v>
      </c>
      <c r="BO72" s="1090">
        <f>BJ72+'4 bba Önkorm '!DM71</f>
        <v>0</v>
      </c>
      <c r="BP72" s="1090">
        <f>BK72+'4 bba Önkorm '!DN71</f>
        <v>0</v>
      </c>
      <c r="BQ72" s="1090">
        <f>BL72+'4 bba Önkorm '!DO71</f>
        <v>0</v>
      </c>
      <c r="BR72" s="1013">
        <f>BM72+'4 bba Önkorm '!DP71</f>
        <v>0</v>
      </c>
      <c r="BS72" s="1013">
        <f>BN72+'4 bba Önkorm '!DQ71</f>
        <v>0</v>
      </c>
    </row>
    <row r="73" spans="1:71" ht="15" customHeight="1">
      <c r="A73" s="1107" t="s">
        <v>750</v>
      </c>
      <c r="C73" s="1099"/>
      <c r="D73" s="1099"/>
      <c r="E73" s="1099">
        <f t="shared" si="69"/>
        <v>0</v>
      </c>
      <c r="F73" s="1019"/>
      <c r="G73" s="1099"/>
      <c r="H73" s="1099"/>
      <c r="I73" s="1099"/>
      <c r="J73" s="1099">
        <f t="shared" si="70"/>
        <v>0</v>
      </c>
      <c r="K73" s="1019">
        <v>3</v>
      </c>
      <c r="L73" s="1099"/>
      <c r="M73" s="1099"/>
      <c r="N73" s="1099"/>
      <c r="O73" s="1099">
        <f t="shared" si="71"/>
        <v>0</v>
      </c>
      <c r="P73" s="1019">
        <f>26+1</f>
        <v>27</v>
      </c>
      <c r="Q73" s="1099">
        <v>18770000</v>
      </c>
      <c r="R73" s="1099">
        <v>18770000</v>
      </c>
      <c r="S73" s="1099"/>
      <c r="T73" s="1099">
        <v>21455996</v>
      </c>
      <c r="U73" s="1019">
        <v>2685997</v>
      </c>
      <c r="V73" s="1099">
        <v>1100000</v>
      </c>
      <c r="W73" s="1099">
        <v>1100000</v>
      </c>
      <c r="X73" s="1099"/>
      <c r="Y73" s="1099">
        <v>1843375</v>
      </c>
      <c r="Z73" s="1019">
        <f>1743381+100000</f>
        <v>1843381</v>
      </c>
      <c r="AA73" s="1099"/>
      <c r="AB73" s="1099"/>
      <c r="AC73" s="1099"/>
      <c r="AD73" s="1099">
        <v>1957169</v>
      </c>
      <c r="AE73" s="1019">
        <f>1639509+190001</f>
        <v>1829510</v>
      </c>
      <c r="AF73" s="1099">
        <v>118255000</v>
      </c>
      <c r="AG73" s="1099">
        <v>137274725</v>
      </c>
      <c r="AH73" s="909">
        <f>17555393-7031702</f>
        <v>10523691</v>
      </c>
      <c r="AI73" s="1099">
        <v>215185089</v>
      </c>
      <c r="AJ73" s="1019">
        <f>197228759+319319</f>
        <v>197548078</v>
      </c>
      <c r="AK73" s="1099"/>
      <c r="AL73" s="1099"/>
      <c r="AM73" s="1099"/>
      <c r="AN73" s="1099">
        <f t="shared" si="74"/>
        <v>0</v>
      </c>
      <c r="AO73" s="1019">
        <f t="shared" si="81"/>
        <v>0</v>
      </c>
      <c r="AP73" s="1099"/>
      <c r="AQ73" s="1099"/>
      <c r="AR73" s="1099"/>
      <c r="AS73" s="1099">
        <f t="shared" si="75"/>
        <v>0</v>
      </c>
      <c r="AT73" s="1019">
        <f t="shared" si="82"/>
        <v>0</v>
      </c>
      <c r="AU73" s="1099"/>
      <c r="AV73" s="1099"/>
      <c r="AW73" s="1099"/>
      <c r="AX73" s="1099">
        <f t="shared" si="76"/>
        <v>0</v>
      </c>
      <c r="AY73" s="1019">
        <f t="shared" si="83"/>
        <v>0</v>
      </c>
      <c r="AZ73" s="1099"/>
      <c r="BA73" s="1094"/>
      <c r="BB73" s="1099"/>
      <c r="BC73" s="1099">
        <f t="shared" si="77"/>
        <v>0</v>
      </c>
      <c r="BD73" s="1019">
        <f t="shared" si="84"/>
        <v>0</v>
      </c>
      <c r="BE73" s="1099"/>
      <c r="BF73" s="1094"/>
      <c r="BG73" s="1099"/>
      <c r="BH73" s="1099">
        <f t="shared" si="78"/>
        <v>0</v>
      </c>
      <c r="BI73" s="1019">
        <f t="shared" si="85"/>
        <v>0</v>
      </c>
      <c r="BJ73" s="1007">
        <f t="shared" si="86"/>
        <v>138125000</v>
      </c>
      <c r="BK73" s="1007">
        <f t="shared" si="79"/>
        <v>157144725</v>
      </c>
      <c r="BL73" s="1007">
        <f t="shared" si="80"/>
        <v>10523691</v>
      </c>
      <c r="BM73" s="1013">
        <f t="shared" si="87"/>
        <v>240441629</v>
      </c>
      <c r="BN73" s="1013">
        <f t="shared" si="87"/>
        <v>203906996</v>
      </c>
      <c r="BO73" s="1090">
        <f>BJ73+'4 bba Önkorm '!DM72</f>
        <v>570573000</v>
      </c>
      <c r="BP73" s="1090">
        <f>BK73+'4 bba Önkorm '!DN72</f>
        <v>589592725</v>
      </c>
      <c r="BQ73" s="1090">
        <f>BL73+'4 bba Önkorm '!DO72</f>
        <v>10523691</v>
      </c>
      <c r="BR73" s="1013">
        <f>BM73+'4 bba Önkorm '!DP72</f>
        <v>682500441</v>
      </c>
      <c r="BS73" s="1013">
        <f>BN73+'4 bba Önkorm '!DQ72</f>
        <v>628885452</v>
      </c>
    </row>
    <row r="74" spans="1:71" ht="15" hidden="1" customHeight="1">
      <c r="A74" s="1107" t="s">
        <v>751</v>
      </c>
      <c r="C74" s="1099"/>
      <c r="D74" s="1099"/>
      <c r="E74" s="1099">
        <f t="shared" si="69"/>
        <v>0</v>
      </c>
      <c r="F74" s="1019"/>
      <c r="G74" s="1099"/>
      <c r="H74" s="1099"/>
      <c r="I74" s="1099"/>
      <c r="J74" s="1099">
        <f t="shared" si="70"/>
        <v>0</v>
      </c>
      <c r="K74" s="1019"/>
      <c r="L74" s="1099"/>
      <c r="M74" s="1099"/>
      <c r="N74" s="1099"/>
      <c r="O74" s="1099">
        <f t="shared" si="71"/>
        <v>0</v>
      </c>
      <c r="P74" s="1019"/>
      <c r="Q74" s="1099"/>
      <c r="R74" s="1099"/>
      <c r="S74" s="1099"/>
      <c r="T74" s="1099">
        <f>SUM(R74:S74)</f>
        <v>0</v>
      </c>
      <c r="U74" s="1019"/>
      <c r="V74" s="1099"/>
      <c r="W74" s="1099"/>
      <c r="X74" s="1099"/>
      <c r="Y74" s="1099">
        <f>SUM(W74:X74)</f>
        <v>0</v>
      </c>
      <c r="Z74" s="1019"/>
      <c r="AA74" s="1099"/>
      <c r="AB74" s="1099"/>
      <c r="AC74" s="1099"/>
      <c r="AD74" s="1099">
        <f>SUM(AB74:AC74)</f>
        <v>0</v>
      </c>
      <c r="AE74" s="1019"/>
      <c r="AF74" s="1099"/>
      <c r="AG74" s="1099"/>
      <c r="AH74" s="1099"/>
      <c r="AI74" s="1099">
        <f>SUM(AG74:AH74)</f>
        <v>0</v>
      </c>
      <c r="AJ74" s="1019"/>
      <c r="AK74" s="1099"/>
      <c r="AL74" s="1099"/>
      <c r="AM74" s="1099"/>
      <c r="AN74" s="1099">
        <f t="shared" si="74"/>
        <v>0</v>
      </c>
      <c r="AO74" s="1019">
        <f t="shared" si="81"/>
        <v>0</v>
      </c>
      <c r="AP74" s="1099"/>
      <c r="AQ74" s="1099"/>
      <c r="AR74" s="1099"/>
      <c r="AS74" s="1099">
        <f t="shared" si="75"/>
        <v>0</v>
      </c>
      <c r="AT74" s="1019">
        <f t="shared" si="82"/>
        <v>0</v>
      </c>
      <c r="AU74" s="1099"/>
      <c r="AV74" s="1099"/>
      <c r="AW74" s="1099"/>
      <c r="AX74" s="1099">
        <f t="shared" si="76"/>
        <v>0</v>
      </c>
      <c r="AY74" s="1019">
        <f t="shared" si="83"/>
        <v>0</v>
      </c>
      <c r="AZ74" s="1099"/>
      <c r="BA74" s="1094"/>
      <c r="BB74" s="1099"/>
      <c r="BC74" s="1099">
        <f t="shared" si="77"/>
        <v>0</v>
      </c>
      <c r="BD74" s="1019">
        <f t="shared" si="84"/>
        <v>0</v>
      </c>
      <c r="BE74" s="1099"/>
      <c r="BF74" s="1094"/>
      <c r="BG74" s="1099"/>
      <c r="BH74" s="1099">
        <f t="shared" si="78"/>
        <v>0</v>
      </c>
      <c r="BI74" s="1019">
        <f t="shared" si="85"/>
        <v>0</v>
      </c>
      <c r="BJ74" s="1007">
        <f t="shared" si="86"/>
        <v>0</v>
      </c>
      <c r="BK74" s="1007">
        <f t="shared" si="79"/>
        <v>0</v>
      </c>
      <c r="BL74" s="1007">
        <f t="shared" si="80"/>
        <v>0</v>
      </c>
      <c r="BM74" s="1013">
        <f t="shared" si="87"/>
        <v>0</v>
      </c>
      <c r="BN74" s="1013">
        <f t="shared" si="87"/>
        <v>0</v>
      </c>
      <c r="BO74" s="1090">
        <f>BJ74+'4 bba Önkorm '!DM73</f>
        <v>0</v>
      </c>
      <c r="BP74" s="1090">
        <f>BK74+'4 bba Önkorm '!DN73</f>
        <v>0</v>
      </c>
      <c r="BQ74" s="1090">
        <f>BL74+'4 bba Önkorm '!DO73</f>
        <v>0</v>
      </c>
      <c r="BR74" s="1013">
        <f>BM74+'4 bba Önkorm '!DP73</f>
        <v>0</v>
      </c>
      <c r="BS74" s="1013">
        <f>BN74+'4 bba Önkorm '!DQ73</f>
        <v>0</v>
      </c>
    </row>
    <row r="75" spans="1:71" ht="15" customHeight="1">
      <c r="A75" s="630" t="s">
        <v>752</v>
      </c>
      <c r="C75" s="1099"/>
      <c r="D75" s="1099"/>
      <c r="E75" s="1099">
        <f t="shared" si="69"/>
        <v>0</v>
      </c>
      <c r="F75" s="1019"/>
      <c r="G75" s="1099"/>
      <c r="H75" s="1099"/>
      <c r="I75" s="1099"/>
      <c r="J75" s="1099">
        <f t="shared" si="70"/>
        <v>0</v>
      </c>
      <c r="K75" s="1019"/>
      <c r="L75" s="1099"/>
      <c r="M75" s="1099"/>
      <c r="N75" s="1099"/>
      <c r="O75" s="1099">
        <f t="shared" si="71"/>
        <v>0</v>
      </c>
      <c r="P75" s="1019"/>
      <c r="Q75" s="1099"/>
      <c r="R75" s="1099"/>
      <c r="S75" s="1099"/>
      <c r="T75" s="1099">
        <f>SUM(R75:S75)</f>
        <v>0</v>
      </c>
      <c r="U75" s="1019"/>
      <c r="V75" s="1099"/>
      <c r="W75" s="1099"/>
      <c r="X75" s="1099"/>
      <c r="Y75" s="1099">
        <f>SUM(W75:X75)</f>
        <v>0</v>
      </c>
      <c r="Z75" s="1019"/>
      <c r="AA75" s="1099"/>
      <c r="AB75" s="1099"/>
      <c r="AC75" s="1099"/>
      <c r="AD75" s="1099">
        <f>SUM(AB75:AC75)</f>
        <v>0</v>
      </c>
      <c r="AE75" s="1019"/>
      <c r="AF75" s="1099"/>
      <c r="AG75" s="1099"/>
      <c r="AH75" s="1099"/>
      <c r="AI75" s="1099">
        <f>SUM(AG75:AH75)</f>
        <v>0</v>
      </c>
      <c r="AJ75" s="1019"/>
      <c r="AK75" s="1099"/>
      <c r="AL75" s="1099"/>
      <c r="AM75" s="1099"/>
      <c r="AN75" s="1099">
        <f t="shared" si="74"/>
        <v>0</v>
      </c>
      <c r="AO75" s="1019">
        <f t="shared" si="81"/>
        <v>0</v>
      </c>
      <c r="AP75" s="1099"/>
      <c r="AQ75" s="1099"/>
      <c r="AR75" s="1099"/>
      <c r="AS75" s="1099">
        <f t="shared" si="75"/>
        <v>0</v>
      </c>
      <c r="AT75" s="1019">
        <f t="shared" si="82"/>
        <v>0</v>
      </c>
      <c r="AU75" s="1099"/>
      <c r="AV75" s="1099"/>
      <c r="AW75" s="1099"/>
      <c r="AX75" s="1099">
        <f t="shared" si="76"/>
        <v>0</v>
      </c>
      <c r="AY75" s="1019">
        <f t="shared" si="83"/>
        <v>0</v>
      </c>
      <c r="AZ75" s="1099"/>
      <c r="BA75" s="1094"/>
      <c r="BB75" s="1099"/>
      <c r="BC75" s="1099">
        <f t="shared" si="77"/>
        <v>0</v>
      </c>
      <c r="BD75" s="1019">
        <f t="shared" si="84"/>
        <v>0</v>
      </c>
      <c r="BE75" s="1099"/>
      <c r="BF75" s="1094"/>
      <c r="BG75" s="1099"/>
      <c r="BH75" s="1099">
        <f t="shared" si="78"/>
        <v>0</v>
      </c>
      <c r="BI75" s="1019">
        <f t="shared" si="85"/>
        <v>0</v>
      </c>
      <c r="BJ75" s="1007">
        <f t="shared" si="86"/>
        <v>0</v>
      </c>
      <c r="BK75" s="1007">
        <f t="shared" si="79"/>
        <v>0</v>
      </c>
      <c r="BL75" s="1007">
        <f t="shared" si="80"/>
        <v>0</v>
      </c>
      <c r="BM75" s="1013">
        <f t="shared" si="87"/>
        <v>0</v>
      </c>
      <c r="BN75" s="1013">
        <f t="shared" si="87"/>
        <v>0</v>
      </c>
      <c r="BO75" s="1090">
        <f>BJ75+'4 bba Önkorm '!DM74</f>
        <v>0</v>
      </c>
      <c r="BP75" s="1090">
        <f>BK75+'4 bba Önkorm '!DN74</f>
        <v>0</v>
      </c>
      <c r="BQ75" s="1090">
        <f>BL75+'4 bba Önkorm '!DO74</f>
        <v>0</v>
      </c>
      <c r="BR75" s="1013">
        <f>BM75+'4 bba Önkorm '!DP74</f>
        <v>0</v>
      </c>
      <c r="BS75" s="1013">
        <f>BN75+'4 bba Önkorm '!DQ74</f>
        <v>0</v>
      </c>
    </row>
    <row r="76" spans="1:71" ht="15" customHeight="1">
      <c r="A76" s="630" t="s">
        <v>753</v>
      </c>
      <c r="C76" s="1099"/>
      <c r="D76" s="1099"/>
      <c r="E76" s="1099">
        <f t="shared" si="69"/>
        <v>0</v>
      </c>
      <c r="F76" s="1019"/>
      <c r="G76" s="1099"/>
      <c r="H76" s="1099"/>
      <c r="I76" s="1099"/>
      <c r="J76" s="1099">
        <f t="shared" si="70"/>
        <v>0</v>
      </c>
      <c r="K76" s="1019"/>
      <c r="L76" s="1099"/>
      <c r="M76" s="1099"/>
      <c r="N76" s="1099"/>
      <c r="O76" s="1099">
        <v>1000000</v>
      </c>
      <c r="P76" s="1019">
        <v>1000000</v>
      </c>
      <c r="Q76" s="1099"/>
      <c r="R76" s="1099"/>
      <c r="S76" s="1099"/>
      <c r="T76" s="1099">
        <f>SUM(R76:S76)</f>
        <v>0</v>
      </c>
      <c r="U76" s="1019"/>
      <c r="V76" s="1099"/>
      <c r="W76" s="1099"/>
      <c r="X76" s="1099"/>
      <c r="Y76" s="1099">
        <f>SUM(W76:X76)</f>
        <v>0</v>
      </c>
      <c r="Z76" s="1019"/>
      <c r="AA76" s="1099"/>
      <c r="AB76" s="1099"/>
      <c r="AC76" s="1099"/>
      <c r="AD76" s="1099">
        <v>510260</v>
      </c>
      <c r="AE76" s="1019"/>
      <c r="AF76" s="1099"/>
      <c r="AG76" s="1099"/>
      <c r="AH76" s="1099"/>
      <c r="AI76" s="1099">
        <v>806483</v>
      </c>
      <c r="AJ76" s="1019"/>
      <c r="AK76" s="1099"/>
      <c r="AL76" s="1099"/>
      <c r="AM76" s="1099"/>
      <c r="AN76" s="1099">
        <f t="shared" si="74"/>
        <v>0</v>
      </c>
      <c r="AO76" s="1019">
        <f t="shared" si="81"/>
        <v>0</v>
      </c>
      <c r="AP76" s="1099"/>
      <c r="AQ76" s="1099"/>
      <c r="AR76" s="1099"/>
      <c r="AS76" s="1099">
        <f t="shared" si="75"/>
        <v>0</v>
      </c>
      <c r="AT76" s="1019">
        <f t="shared" si="82"/>
        <v>0</v>
      </c>
      <c r="AU76" s="1099"/>
      <c r="AV76" s="1099"/>
      <c r="AW76" s="1099"/>
      <c r="AX76" s="1099">
        <f t="shared" si="76"/>
        <v>0</v>
      </c>
      <c r="AY76" s="1019">
        <f t="shared" si="83"/>
        <v>0</v>
      </c>
      <c r="AZ76" s="1099"/>
      <c r="BA76" s="1094"/>
      <c r="BB76" s="1099"/>
      <c r="BC76" s="1099">
        <f t="shared" si="77"/>
        <v>0</v>
      </c>
      <c r="BD76" s="1019">
        <f t="shared" si="84"/>
        <v>0</v>
      </c>
      <c r="BE76" s="1099"/>
      <c r="BF76" s="1094"/>
      <c r="BG76" s="1099"/>
      <c r="BH76" s="1099">
        <f t="shared" si="78"/>
        <v>0</v>
      </c>
      <c r="BI76" s="1019">
        <f t="shared" si="85"/>
        <v>0</v>
      </c>
      <c r="BJ76" s="1007">
        <f t="shared" si="86"/>
        <v>0</v>
      </c>
      <c r="BK76" s="1007">
        <f t="shared" si="79"/>
        <v>0</v>
      </c>
      <c r="BL76" s="1007">
        <f t="shared" si="80"/>
        <v>0</v>
      </c>
      <c r="BM76" s="1013">
        <f t="shared" si="87"/>
        <v>2316743</v>
      </c>
      <c r="BN76" s="1013">
        <f t="shared" si="87"/>
        <v>1000000</v>
      </c>
      <c r="BO76" s="1090">
        <f>BJ76+'4 bba Önkorm '!DM75</f>
        <v>0</v>
      </c>
      <c r="BP76" s="1090">
        <f>BK76+'4 bba Önkorm '!DN75</f>
        <v>0</v>
      </c>
      <c r="BQ76" s="1090">
        <f>BL76+'4 bba Önkorm '!DO75</f>
        <v>0</v>
      </c>
      <c r="BR76" s="1013">
        <f>BM76+'4 bba Önkorm '!DP75</f>
        <v>2316743</v>
      </c>
      <c r="BS76" s="1013">
        <f>BN76+'4 bba Önkorm '!DQ75</f>
        <v>1000000</v>
      </c>
    </row>
    <row r="77" spans="1:71" ht="15" customHeight="1">
      <c r="A77" s="1054" t="s">
        <v>754</v>
      </c>
      <c r="B77" s="1198">
        <f t="shared" ref="B77:AG77" si="88">SUM(B63:B76)</f>
        <v>0</v>
      </c>
      <c r="C77" s="1198">
        <f t="shared" si="88"/>
        <v>0</v>
      </c>
      <c r="D77" s="1198">
        <f t="shared" si="88"/>
        <v>0</v>
      </c>
      <c r="E77" s="1198">
        <f t="shared" si="88"/>
        <v>0</v>
      </c>
      <c r="F77" s="1198">
        <f t="shared" si="88"/>
        <v>0</v>
      </c>
      <c r="G77" s="1198">
        <f t="shared" si="88"/>
        <v>0</v>
      </c>
      <c r="H77" s="1198">
        <f t="shared" si="88"/>
        <v>0</v>
      </c>
      <c r="I77" s="1198">
        <f t="shared" si="88"/>
        <v>0</v>
      </c>
      <c r="J77" s="1198">
        <f t="shared" si="88"/>
        <v>0</v>
      </c>
      <c r="K77" s="1198">
        <f t="shared" si="88"/>
        <v>3</v>
      </c>
      <c r="L77" s="1198">
        <f t="shared" si="88"/>
        <v>0</v>
      </c>
      <c r="M77" s="1198">
        <f t="shared" si="88"/>
        <v>0</v>
      </c>
      <c r="N77" s="1198">
        <f t="shared" si="88"/>
        <v>0</v>
      </c>
      <c r="O77" s="1198">
        <f t="shared" si="88"/>
        <v>1000000</v>
      </c>
      <c r="P77" s="1198">
        <f t="shared" si="88"/>
        <v>1000027</v>
      </c>
      <c r="Q77" s="1198">
        <f t="shared" si="88"/>
        <v>52137000</v>
      </c>
      <c r="R77" s="1198">
        <f t="shared" si="88"/>
        <v>52137000</v>
      </c>
      <c r="S77" s="1198">
        <f t="shared" si="88"/>
        <v>-33367000</v>
      </c>
      <c r="T77" s="1198">
        <f t="shared" si="88"/>
        <v>21630596</v>
      </c>
      <c r="U77" s="1198">
        <f t="shared" si="88"/>
        <v>2685997</v>
      </c>
      <c r="V77" s="1198">
        <f t="shared" si="88"/>
        <v>25340000</v>
      </c>
      <c r="W77" s="1198">
        <f t="shared" si="88"/>
        <v>25340000</v>
      </c>
      <c r="X77" s="1198">
        <f t="shared" si="88"/>
        <v>0</v>
      </c>
      <c r="Y77" s="1198">
        <f t="shared" si="88"/>
        <v>61053375</v>
      </c>
      <c r="Z77" s="1198">
        <f t="shared" si="88"/>
        <v>52078381</v>
      </c>
      <c r="AA77" s="1198">
        <f t="shared" si="88"/>
        <v>25429000</v>
      </c>
      <c r="AB77" s="1198">
        <f t="shared" si="88"/>
        <v>25429000</v>
      </c>
      <c r="AC77" s="1198">
        <f t="shared" si="88"/>
        <v>0</v>
      </c>
      <c r="AD77" s="1198">
        <f t="shared" si="88"/>
        <v>34049369</v>
      </c>
      <c r="AE77" s="1198">
        <f t="shared" si="88"/>
        <v>33191124</v>
      </c>
      <c r="AF77" s="1198">
        <f t="shared" si="88"/>
        <v>10501463498</v>
      </c>
      <c r="AG77" s="1198">
        <f t="shared" si="88"/>
        <v>10680355399</v>
      </c>
      <c r="AH77" s="1198">
        <f t="shared" ref="AH77:BN77" si="89">SUM(AH63:AH76)</f>
        <v>29775401</v>
      </c>
      <c r="AI77" s="1198">
        <f t="shared" si="89"/>
        <v>11082934801</v>
      </c>
      <c r="AJ77" s="1198">
        <f t="shared" si="89"/>
        <v>11061063286</v>
      </c>
      <c r="AK77" s="1198">
        <f t="shared" si="89"/>
        <v>0</v>
      </c>
      <c r="AL77" s="1198">
        <f t="shared" si="89"/>
        <v>0</v>
      </c>
      <c r="AM77" s="1198">
        <f t="shared" si="89"/>
        <v>0</v>
      </c>
      <c r="AN77" s="1198">
        <f t="shared" si="89"/>
        <v>0</v>
      </c>
      <c r="AO77" s="1198">
        <f t="shared" si="89"/>
        <v>0</v>
      </c>
      <c r="AP77" s="1198">
        <f t="shared" si="89"/>
        <v>0</v>
      </c>
      <c r="AQ77" s="1198">
        <f t="shared" si="89"/>
        <v>0</v>
      </c>
      <c r="AR77" s="1198">
        <f t="shared" si="89"/>
        <v>0</v>
      </c>
      <c r="AS77" s="1198">
        <f t="shared" si="89"/>
        <v>0</v>
      </c>
      <c r="AT77" s="1198">
        <f t="shared" si="89"/>
        <v>0</v>
      </c>
      <c r="AU77" s="1198">
        <f t="shared" si="89"/>
        <v>0</v>
      </c>
      <c r="AV77" s="1198">
        <f t="shared" si="89"/>
        <v>0</v>
      </c>
      <c r="AW77" s="1198">
        <f t="shared" si="89"/>
        <v>0</v>
      </c>
      <c r="AX77" s="1198">
        <f t="shared" si="89"/>
        <v>0</v>
      </c>
      <c r="AY77" s="1198">
        <f t="shared" si="89"/>
        <v>0</v>
      </c>
      <c r="AZ77" s="1198">
        <f t="shared" si="89"/>
        <v>0</v>
      </c>
      <c r="BA77" s="1198">
        <f t="shared" si="89"/>
        <v>0</v>
      </c>
      <c r="BB77" s="1198">
        <f t="shared" si="89"/>
        <v>0</v>
      </c>
      <c r="BC77" s="1198">
        <f t="shared" si="89"/>
        <v>0</v>
      </c>
      <c r="BD77" s="1198">
        <f t="shared" si="89"/>
        <v>0</v>
      </c>
      <c r="BE77" s="1198">
        <f t="shared" si="89"/>
        <v>0</v>
      </c>
      <c r="BF77" s="1198">
        <f t="shared" si="89"/>
        <v>0</v>
      </c>
      <c r="BG77" s="1198">
        <f t="shared" si="89"/>
        <v>0</v>
      </c>
      <c r="BH77" s="1198">
        <f t="shared" si="89"/>
        <v>0</v>
      </c>
      <c r="BI77" s="1198">
        <f t="shared" si="89"/>
        <v>0</v>
      </c>
      <c r="BJ77" s="1023">
        <f t="shared" si="89"/>
        <v>10604369498</v>
      </c>
      <c r="BK77" s="1023">
        <f t="shared" si="89"/>
        <v>10783261399</v>
      </c>
      <c r="BL77" s="1023">
        <f t="shared" si="89"/>
        <v>-3591599</v>
      </c>
      <c r="BM77" s="1023">
        <f t="shared" si="89"/>
        <v>11200668141</v>
      </c>
      <c r="BN77" s="1023">
        <f t="shared" si="89"/>
        <v>11150018818</v>
      </c>
      <c r="BO77" s="1023">
        <f>SUM(BO63:BO76)</f>
        <v>11099152498</v>
      </c>
      <c r="BP77" s="1023">
        <f>SUM(BP63:BP76)</f>
        <v>11278044399</v>
      </c>
      <c r="BQ77" s="1023">
        <f>SUM(BQ63:BQ76)</f>
        <v>996748</v>
      </c>
      <c r="BR77" s="1023">
        <f>SUM(BR63:BR76)</f>
        <v>11709650300</v>
      </c>
      <c r="BS77" s="1023">
        <f>SUM(BS63:BS76)</f>
        <v>11641920621</v>
      </c>
    </row>
    <row r="78" spans="1:71" ht="15" customHeight="1">
      <c r="A78" s="630" t="s">
        <v>755</v>
      </c>
      <c r="C78" s="1010"/>
      <c r="D78" s="1010"/>
      <c r="E78" s="1010">
        <f t="shared" ref="E78:E85" si="90">SUM(C78:D78)</f>
        <v>0</v>
      </c>
      <c r="F78" s="1019"/>
      <c r="G78" s="1010"/>
      <c r="H78" s="1010"/>
      <c r="I78" s="1010"/>
      <c r="J78" s="1010">
        <f t="shared" ref="J78:J85" si="91">SUM(H78:I78)</f>
        <v>0</v>
      </c>
      <c r="K78" s="1019"/>
      <c r="L78" s="1010"/>
      <c r="M78" s="1010"/>
      <c r="N78" s="1010"/>
      <c r="O78" s="1010">
        <f t="shared" ref="O78:O85" si="92">SUM(M78:N78)</f>
        <v>0</v>
      </c>
      <c r="P78" s="1019"/>
      <c r="Q78" s="1010"/>
      <c r="R78" s="1010"/>
      <c r="S78" s="1010"/>
      <c r="T78" s="1010">
        <f t="shared" ref="T78:T83" si="93">SUM(R78:S78)</f>
        <v>0</v>
      </c>
      <c r="U78" s="1019"/>
      <c r="V78" s="1010"/>
      <c r="W78" s="1010"/>
      <c r="X78" s="1010"/>
      <c r="Y78" s="1010">
        <f t="shared" ref="Y78:Y85" si="94">SUM(W78:X78)</f>
        <v>0</v>
      </c>
      <c r="Z78" s="1019"/>
      <c r="AA78" s="1010"/>
      <c r="AB78" s="1010">
        <v>20000000</v>
      </c>
      <c r="AC78" s="1010"/>
      <c r="AD78" s="1010">
        <f>SUM(AB78:AC78)</f>
        <v>20000000</v>
      </c>
      <c r="AE78" s="1019"/>
      <c r="AF78" s="1010"/>
      <c r="AG78" s="1010"/>
      <c r="AH78" s="1010"/>
      <c r="AI78" s="1010">
        <v>34191</v>
      </c>
      <c r="AJ78" s="1019">
        <v>34191</v>
      </c>
      <c r="AK78" s="1010"/>
      <c r="AL78" s="1010"/>
      <c r="AM78" s="1010"/>
      <c r="AN78" s="1010">
        <f t="shared" ref="AN78:AN85" si="95">SUM(AL78:AM78)</f>
        <v>0</v>
      </c>
      <c r="AO78" s="1019">
        <f t="shared" ref="AO78:AO85" si="96">AL78-AK78</f>
        <v>0</v>
      </c>
      <c r="AP78" s="1010"/>
      <c r="AQ78" s="1010"/>
      <c r="AR78" s="1010"/>
      <c r="AS78" s="1010">
        <f t="shared" ref="AS78:AS85" si="97">SUM(AQ78:AR78)</f>
        <v>0</v>
      </c>
      <c r="AT78" s="1019">
        <f t="shared" ref="AT78:AT85" si="98">AQ78-AP78</f>
        <v>0</v>
      </c>
      <c r="AU78" s="1010"/>
      <c r="AV78" s="1010"/>
      <c r="AW78" s="1010"/>
      <c r="AX78" s="1010">
        <f t="shared" ref="AX78:AX85" si="99">SUM(AV78:AW78)</f>
        <v>0</v>
      </c>
      <c r="AY78" s="1019">
        <f t="shared" ref="AY78:AY85" si="100">AV78-AU78</f>
        <v>0</v>
      </c>
      <c r="AZ78" s="1010"/>
      <c r="BA78" s="1011"/>
      <c r="BB78" s="1010"/>
      <c r="BC78" s="1010">
        <f t="shared" ref="BC78:BC85" si="101">SUM(BA78+BB78)</f>
        <v>0</v>
      </c>
      <c r="BD78" s="1019">
        <f t="shared" ref="BD78:BD85" si="102">BA78-AZ78</f>
        <v>0</v>
      </c>
      <c r="BE78" s="1010"/>
      <c r="BF78" s="1011"/>
      <c r="BG78" s="1010"/>
      <c r="BH78" s="1010">
        <f t="shared" ref="BH78:BH85" si="103">SUM(BF78+BG78)</f>
        <v>0</v>
      </c>
      <c r="BI78" s="1019">
        <f t="shared" ref="BI78:BI85" si="104">BF78-BE78</f>
        <v>0</v>
      </c>
      <c r="BJ78" s="1007">
        <f t="shared" ref="BJ78:BN85" si="105">SUM(B78+G78+L78+Q78+V78+AA78+AF78+AK78+AP78+AU78+AZ78+BE78)</f>
        <v>0</v>
      </c>
      <c r="BK78" s="1007">
        <f t="shared" si="105"/>
        <v>20000000</v>
      </c>
      <c r="BL78" s="1007">
        <f t="shared" si="105"/>
        <v>0</v>
      </c>
      <c r="BM78" s="1015">
        <f t="shared" si="105"/>
        <v>20034191</v>
      </c>
      <c r="BN78" s="1015">
        <f t="shared" si="105"/>
        <v>34191</v>
      </c>
      <c r="BO78" s="1090">
        <f>BJ78+'4 bba Önkorm '!DM77</f>
        <v>286000000</v>
      </c>
      <c r="BP78" s="1090">
        <f>BK78+'4 bba Önkorm '!DN77</f>
        <v>306000000</v>
      </c>
      <c r="BQ78" s="1090">
        <f>BL78+'4 bba Önkorm '!DO77</f>
        <v>0</v>
      </c>
      <c r="BR78" s="1015">
        <f>BM78+'4 bba Önkorm '!DP77</f>
        <v>306034191</v>
      </c>
      <c r="BS78" s="1015">
        <f>BN78+'4 bba Önkorm '!DQ77</f>
        <v>262864046</v>
      </c>
    </row>
    <row r="79" spans="1:71" ht="15" hidden="1" customHeight="1">
      <c r="A79" s="630" t="s">
        <v>756</v>
      </c>
      <c r="C79" s="1099"/>
      <c r="D79" s="1099"/>
      <c r="E79" s="1099">
        <f t="shared" si="90"/>
        <v>0</v>
      </c>
      <c r="F79" s="1019"/>
      <c r="G79" s="1099"/>
      <c r="H79" s="1099"/>
      <c r="I79" s="1099"/>
      <c r="J79" s="1099">
        <f t="shared" si="91"/>
        <v>0</v>
      </c>
      <c r="K79" s="1019"/>
      <c r="L79" s="1099"/>
      <c r="M79" s="1099"/>
      <c r="N79" s="1099"/>
      <c r="O79" s="1099">
        <f t="shared" si="92"/>
        <v>0</v>
      </c>
      <c r="P79" s="1019"/>
      <c r="Q79" s="1099"/>
      <c r="R79" s="1099"/>
      <c r="S79" s="1099"/>
      <c r="T79" s="1099">
        <f t="shared" si="93"/>
        <v>0</v>
      </c>
      <c r="U79" s="1019"/>
      <c r="V79" s="1099"/>
      <c r="W79" s="1099"/>
      <c r="X79" s="1099"/>
      <c r="Y79" s="1099">
        <f t="shared" si="94"/>
        <v>0</v>
      </c>
      <c r="Z79" s="1019"/>
      <c r="AA79" s="1099"/>
      <c r="AB79" s="1099"/>
      <c r="AC79" s="1099"/>
      <c r="AD79" s="1099">
        <f>SUM(AB79:AC79)</f>
        <v>0</v>
      </c>
      <c r="AE79" s="1019"/>
      <c r="AF79" s="1099"/>
      <c r="AG79" s="1099"/>
      <c r="AH79" s="1099"/>
      <c r="AI79" s="1099">
        <f>SUM(AG79:AH79)</f>
        <v>0</v>
      </c>
      <c r="AJ79" s="1019"/>
      <c r="AK79" s="1099"/>
      <c r="AL79" s="1099"/>
      <c r="AM79" s="1099"/>
      <c r="AN79" s="1099">
        <f t="shared" si="95"/>
        <v>0</v>
      </c>
      <c r="AO79" s="1019">
        <f t="shared" si="96"/>
        <v>0</v>
      </c>
      <c r="AP79" s="1099"/>
      <c r="AQ79" s="1099"/>
      <c r="AR79" s="1099"/>
      <c r="AS79" s="1099">
        <f t="shared" si="97"/>
        <v>0</v>
      </c>
      <c r="AT79" s="1019">
        <f t="shared" si="98"/>
        <v>0</v>
      </c>
      <c r="AU79" s="1099"/>
      <c r="AV79" s="1099"/>
      <c r="AW79" s="1099"/>
      <c r="AX79" s="1099">
        <f t="shared" si="99"/>
        <v>0</v>
      </c>
      <c r="AY79" s="1019">
        <f t="shared" si="100"/>
        <v>0</v>
      </c>
      <c r="AZ79" s="1099"/>
      <c r="BA79" s="1094"/>
      <c r="BB79" s="1099"/>
      <c r="BC79" s="1099">
        <f t="shared" si="101"/>
        <v>0</v>
      </c>
      <c r="BD79" s="1019">
        <f t="shared" si="102"/>
        <v>0</v>
      </c>
      <c r="BE79" s="1099"/>
      <c r="BF79" s="1094"/>
      <c r="BG79" s="1099"/>
      <c r="BH79" s="1099">
        <f t="shared" si="103"/>
        <v>0</v>
      </c>
      <c r="BI79" s="1019">
        <f t="shared" si="104"/>
        <v>0</v>
      </c>
      <c r="BJ79" s="1007">
        <f t="shared" si="105"/>
        <v>0</v>
      </c>
      <c r="BK79" s="1007">
        <f t="shared" si="105"/>
        <v>0</v>
      </c>
      <c r="BL79" s="1007">
        <f t="shared" si="105"/>
        <v>0</v>
      </c>
      <c r="BM79" s="1013">
        <f t="shared" si="105"/>
        <v>0</v>
      </c>
      <c r="BN79" s="1015">
        <f t="shared" si="105"/>
        <v>0</v>
      </c>
      <c r="BO79" s="1090">
        <f>BJ79+'4 bba Önkorm '!DM78</f>
        <v>0</v>
      </c>
      <c r="BP79" s="1090">
        <f>BK79+'4 bba Önkorm '!DN78</f>
        <v>0</v>
      </c>
      <c r="BQ79" s="1090">
        <f>BL79+'4 bba Önkorm '!DO78</f>
        <v>0</v>
      </c>
      <c r="BR79" s="1015">
        <f>BM79+'4 bba Önkorm '!DP78</f>
        <v>0</v>
      </c>
      <c r="BS79" s="1015">
        <f>BN79+'4 bba Önkorm '!DQ78</f>
        <v>0</v>
      </c>
    </row>
    <row r="80" spans="1:71" ht="15" customHeight="1">
      <c r="A80" s="630" t="s">
        <v>757</v>
      </c>
      <c r="C80" s="1099"/>
      <c r="D80" s="1099"/>
      <c r="E80" s="1099">
        <f t="shared" si="90"/>
        <v>0</v>
      </c>
      <c r="F80" s="1019"/>
      <c r="G80" s="1099"/>
      <c r="H80" s="1099"/>
      <c r="I80" s="1099"/>
      <c r="J80" s="1099">
        <f t="shared" si="91"/>
        <v>0</v>
      </c>
      <c r="K80" s="1019"/>
      <c r="L80" s="1099"/>
      <c r="M80" s="1099"/>
      <c r="N80" s="1099"/>
      <c r="O80" s="1099">
        <f t="shared" si="92"/>
        <v>0</v>
      </c>
      <c r="P80" s="1019"/>
      <c r="Q80" s="1099"/>
      <c r="R80" s="1099"/>
      <c r="S80" s="1099">
        <v>743400000</v>
      </c>
      <c r="T80" s="1099">
        <f t="shared" si="93"/>
        <v>743400000</v>
      </c>
      <c r="U80" s="1019">
        <f>33367000+710033000</f>
        <v>743400000</v>
      </c>
      <c r="V80" s="1099"/>
      <c r="W80" s="1099"/>
      <c r="X80" s="1099"/>
      <c r="Y80" s="1099">
        <f t="shared" si="94"/>
        <v>0</v>
      </c>
      <c r="Z80" s="1019"/>
      <c r="AA80" s="1099"/>
      <c r="AB80" s="1099"/>
      <c r="AC80" s="1099"/>
      <c r="AD80" s="1099">
        <v>1717000</v>
      </c>
      <c r="AE80" s="1019">
        <v>1717000</v>
      </c>
      <c r="AF80" s="1099"/>
      <c r="AG80" s="1099"/>
      <c r="AH80" s="1099"/>
      <c r="AI80" s="1099">
        <v>1800000</v>
      </c>
      <c r="AJ80" s="1019">
        <v>1800000</v>
      </c>
      <c r="AK80" s="1099"/>
      <c r="AL80" s="1099"/>
      <c r="AM80" s="1099"/>
      <c r="AN80" s="1099">
        <f t="shared" si="95"/>
        <v>0</v>
      </c>
      <c r="AO80" s="1019">
        <f t="shared" si="96"/>
        <v>0</v>
      </c>
      <c r="AP80" s="1099"/>
      <c r="AQ80" s="1099"/>
      <c r="AR80" s="1099"/>
      <c r="AS80" s="1099">
        <f t="shared" si="97"/>
        <v>0</v>
      </c>
      <c r="AT80" s="1019">
        <f t="shared" si="98"/>
        <v>0</v>
      </c>
      <c r="AU80" s="1099"/>
      <c r="AV80" s="1099"/>
      <c r="AW80" s="1099"/>
      <c r="AX80" s="1099">
        <f t="shared" si="99"/>
        <v>0</v>
      </c>
      <c r="AY80" s="1019">
        <f t="shared" si="100"/>
        <v>0</v>
      </c>
      <c r="AZ80" s="1099"/>
      <c r="BA80" s="1094"/>
      <c r="BB80" s="1099"/>
      <c r="BC80" s="1099">
        <f t="shared" si="101"/>
        <v>0</v>
      </c>
      <c r="BD80" s="1019">
        <f t="shared" si="102"/>
        <v>0</v>
      </c>
      <c r="BE80" s="1099"/>
      <c r="BF80" s="1094"/>
      <c r="BG80" s="1099"/>
      <c r="BH80" s="1099">
        <f t="shared" si="103"/>
        <v>0</v>
      </c>
      <c r="BI80" s="1019">
        <f t="shared" si="104"/>
        <v>0</v>
      </c>
      <c r="BJ80" s="1007">
        <f t="shared" si="105"/>
        <v>0</v>
      </c>
      <c r="BK80" s="1007">
        <f t="shared" si="105"/>
        <v>0</v>
      </c>
      <c r="BL80" s="1007">
        <f t="shared" si="105"/>
        <v>743400000</v>
      </c>
      <c r="BM80" s="1013">
        <f t="shared" si="105"/>
        <v>746917000</v>
      </c>
      <c r="BN80" s="1015">
        <f t="shared" si="105"/>
        <v>746917000</v>
      </c>
      <c r="BO80" s="1090">
        <f>BJ80+'4 bba Önkorm '!DM79</f>
        <v>0</v>
      </c>
      <c r="BP80" s="1090">
        <f>BK80+'4 bba Önkorm '!DN79</f>
        <v>0</v>
      </c>
      <c r="BQ80" s="1090">
        <f>BL80+'4 bba Önkorm '!DO79</f>
        <v>743400000</v>
      </c>
      <c r="BR80" s="1013">
        <f>BM80+'4 bba Önkorm '!DP79</f>
        <v>746917000</v>
      </c>
      <c r="BS80" s="1015">
        <f>BN80+'4 bba Önkorm '!DQ79</f>
        <v>746917000</v>
      </c>
    </row>
    <row r="81" spans="1:71" ht="15" customHeight="1">
      <c r="A81" s="630" t="s">
        <v>758</v>
      </c>
      <c r="C81" s="1099"/>
      <c r="D81" s="1099"/>
      <c r="E81" s="1099">
        <f t="shared" si="90"/>
        <v>0</v>
      </c>
      <c r="F81" s="1019"/>
      <c r="G81" s="1099"/>
      <c r="H81" s="1099"/>
      <c r="I81" s="1099"/>
      <c r="J81" s="1099">
        <f t="shared" si="91"/>
        <v>0</v>
      </c>
      <c r="K81" s="1019"/>
      <c r="L81" s="1099"/>
      <c r="M81" s="1099"/>
      <c r="N81" s="1099"/>
      <c r="O81" s="1099">
        <f t="shared" si="92"/>
        <v>0</v>
      </c>
      <c r="P81" s="1019"/>
      <c r="Q81" s="1099"/>
      <c r="R81" s="1099"/>
      <c r="S81" s="1099"/>
      <c r="T81" s="1099">
        <f t="shared" si="93"/>
        <v>0</v>
      </c>
      <c r="U81" s="1019"/>
      <c r="V81" s="1099"/>
      <c r="W81" s="1099"/>
      <c r="X81" s="1099"/>
      <c r="Y81" s="1099">
        <f t="shared" si="94"/>
        <v>0</v>
      </c>
      <c r="Z81" s="1019"/>
      <c r="AA81" s="1099"/>
      <c r="AB81" s="1099"/>
      <c r="AC81" s="1099"/>
      <c r="AD81" s="630">
        <v>0</v>
      </c>
      <c r="AE81" s="1019"/>
      <c r="AF81" s="1099"/>
      <c r="AG81" s="1099"/>
      <c r="AH81" s="1099"/>
      <c r="AI81" s="1099">
        <f>SUM(AG81:AH81)</f>
        <v>0</v>
      </c>
      <c r="AJ81" s="1019"/>
      <c r="AK81" s="1099"/>
      <c r="AL81" s="1099"/>
      <c r="AM81" s="1099"/>
      <c r="AN81" s="1099">
        <f t="shared" si="95"/>
        <v>0</v>
      </c>
      <c r="AO81" s="1019">
        <f t="shared" si="96"/>
        <v>0</v>
      </c>
      <c r="AP81" s="1099"/>
      <c r="AQ81" s="1099"/>
      <c r="AR81" s="1099"/>
      <c r="AS81" s="1099">
        <f t="shared" si="97"/>
        <v>0</v>
      </c>
      <c r="AT81" s="1019">
        <f t="shared" si="98"/>
        <v>0</v>
      </c>
      <c r="AU81" s="1099"/>
      <c r="AV81" s="1099"/>
      <c r="AW81" s="1099"/>
      <c r="AX81" s="1099">
        <f t="shared" si="99"/>
        <v>0</v>
      </c>
      <c r="AY81" s="1019">
        <f t="shared" si="100"/>
        <v>0</v>
      </c>
      <c r="AZ81" s="1099"/>
      <c r="BA81" s="1094"/>
      <c r="BB81" s="1099"/>
      <c r="BC81" s="1099">
        <f t="shared" si="101"/>
        <v>0</v>
      </c>
      <c r="BD81" s="1019">
        <f t="shared" si="102"/>
        <v>0</v>
      </c>
      <c r="BE81" s="1099"/>
      <c r="BF81" s="1094"/>
      <c r="BG81" s="1099"/>
      <c r="BH81" s="1099">
        <f t="shared" si="103"/>
        <v>0</v>
      </c>
      <c r="BI81" s="1019">
        <f t="shared" si="104"/>
        <v>0</v>
      </c>
      <c r="BJ81" s="1007">
        <f t="shared" si="105"/>
        <v>0</v>
      </c>
      <c r="BK81" s="1007">
        <f t="shared" si="105"/>
        <v>0</v>
      </c>
      <c r="BL81" s="1007">
        <f t="shared" si="105"/>
        <v>0</v>
      </c>
      <c r="BM81" s="1013">
        <f t="shared" si="105"/>
        <v>0</v>
      </c>
      <c r="BN81" s="1015">
        <f t="shared" si="105"/>
        <v>0</v>
      </c>
      <c r="BO81" s="1090">
        <f>BJ81+'4 bba Önkorm '!DM80</f>
        <v>0</v>
      </c>
      <c r="BP81" s="1090">
        <f>BK81+'4 bba Önkorm '!DN80</f>
        <v>0</v>
      </c>
      <c r="BQ81" s="1090">
        <f>BL81+'4 bba Önkorm '!DO80</f>
        <v>0</v>
      </c>
      <c r="BR81" s="1013">
        <f>BM81+'4 bba Önkorm '!DP80</f>
        <v>0</v>
      </c>
      <c r="BS81" s="1015">
        <f>BN81+'4 bba Önkorm '!DQ80</f>
        <v>0</v>
      </c>
    </row>
    <row r="82" spans="1:71" ht="15" customHeight="1">
      <c r="A82" s="630" t="s">
        <v>759</v>
      </c>
      <c r="C82" s="1099"/>
      <c r="D82" s="1099"/>
      <c r="E82" s="1099">
        <f t="shared" si="90"/>
        <v>0</v>
      </c>
      <c r="F82" s="1019"/>
      <c r="G82" s="1099"/>
      <c r="H82" s="1099"/>
      <c r="I82" s="1099"/>
      <c r="J82" s="1099">
        <f t="shared" si="91"/>
        <v>0</v>
      </c>
      <c r="K82" s="1019"/>
      <c r="L82" s="1099"/>
      <c r="M82" s="1099"/>
      <c r="N82" s="1099"/>
      <c r="O82" s="1099">
        <f t="shared" si="92"/>
        <v>0</v>
      </c>
      <c r="P82" s="1019"/>
      <c r="Q82" s="1099">
        <v>710058000</v>
      </c>
      <c r="R82" s="1099">
        <f>743425000-33367000</f>
        <v>710058000</v>
      </c>
      <c r="S82" s="1099">
        <v>-710058000</v>
      </c>
      <c r="T82" s="1099">
        <f t="shared" si="93"/>
        <v>0</v>
      </c>
      <c r="U82" s="1019"/>
      <c r="V82" s="1099"/>
      <c r="W82" s="1099"/>
      <c r="X82" s="1099"/>
      <c r="Y82" s="1099">
        <f t="shared" si="94"/>
        <v>0</v>
      </c>
      <c r="Z82" s="1019"/>
      <c r="AA82" s="1099"/>
      <c r="AB82" s="1099"/>
      <c r="AC82" s="1099"/>
      <c r="AD82" s="1099">
        <v>2188868</v>
      </c>
      <c r="AE82" s="1019">
        <v>2188868</v>
      </c>
      <c r="AF82" s="1099"/>
      <c r="AG82" s="1099"/>
      <c r="AH82" s="1099"/>
      <c r="AI82" s="1099">
        <f>SUM(AG82:AH82)</f>
        <v>0</v>
      </c>
      <c r="AJ82" s="1019"/>
      <c r="AK82" s="1099"/>
      <c r="AL82" s="1099"/>
      <c r="AM82" s="1099"/>
      <c r="AN82" s="1099">
        <f t="shared" si="95"/>
        <v>0</v>
      </c>
      <c r="AO82" s="1019">
        <f t="shared" si="96"/>
        <v>0</v>
      </c>
      <c r="AP82" s="1099"/>
      <c r="AQ82" s="1099"/>
      <c r="AR82" s="1099"/>
      <c r="AS82" s="1099">
        <f t="shared" si="97"/>
        <v>0</v>
      </c>
      <c r="AT82" s="1019">
        <f t="shared" si="98"/>
        <v>0</v>
      </c>
      <c r="AU82" s="1099"/>
      <c r="AV82" s="1099"/>
      <c r="AW82" s="1099"/>
      <c r="AX82" s="1099">
        <f t="shared" si="99"/>
        <v>0</v>
      </c>
      <c r="AY82" s="1019">
        <f t="shared" si="100"/>
        <v>0</v>
      </c>
      <c r="AZ82" s="1099"/>
      <c r="BA82" s="1094"/>
      <c r="BB82" s="1099"/>
      <c r="BC82" s="1099">
        <f t="shared" si="101"/>
        <v>0</v>
      </c>
      <c r="BD82" s="1019">
        <f t="shared" si="102"/>
        <v>0</v>
      </c>
      <c r="BE82" s="1099"/>
      <c r="BF82" s="1094"/>
      <c r="BG82" s="1099"/>
      <c r="BH82" s="1099">
        <f t="shared" si="103"/>
        <v>0</v>
      </c>
      <c r="BI82" s="1019">
        <f t="shared" si="104"/>
        <v>0</v>
      </c>
      <c r="BJ82" s="1007">
        <f t="shared" si="105"/>
        <v>710058000</v>
      </c>
      <c r="BK82" s="1007">
        <f t="shared" si="105"/>
        <v>710058000</v>
      </c>
      <c r="BL82" s="1007">
        <f t="shared" si="105"/>
        <v>-710058000</v>
      </c>
      <c r="BM82" s="1013">
        <f t="shared" si="105"/>
        <v>2188868</v>
      </c>
      <c r="BN82" s="1015">
        <f t="shared" si="105"/>
        <v>2188868</v>
      </c>
      <c r="BO82" s="1090">
        <f>BJ82+'4 bba Önkorm '!DM81</f>
        <v>715178000</v>
      </c>
      <c r="BP82" s="1090">
        <f>BK82+'4 bba Önkorm '!DN81</f>
        <v>715178000</v>
      </c>
      <c r="BQ82" s="1090">
        <f>BL82+'4 bba Önkorm '!DO81</f>
        <v>-710058000</v>
      </c>
      <c r="BR82" s="1013">
        <f>BM82+'4 bba Önkorm '!DP81</f>
        <v>11308868</v>
      </c>
      <c r="BS82" s="1015">
        <f>BN82+'4 bba Önkorm '!DQ81</f>
        <v>11308868</v>
      </c>
    </row>
    <row r="83" spans="1:71" ht="15" customHeight="1">
      <c r="A83" s="630" t="s">
        <v>760</v>
      </c>
      <c r="C83" s="1099"/>
      <c r="D83" s="1099"/>
      <c r="E83" s="1099">
        <f t="shared" si="90"/>
        <v>0</v>
      </c>
      <c r="F83" s="1019"/>
      <c r="G83" s="1099"/>
      <c r="H83" s="1099"/>
      <c r="I83" s="1099"/>
      <c r="J83" s="1099">
        <f t="shared" si="91"/>
        <v>0</v>
      </c>
      <c r="K83" s="1019"/>
      <c r="L83" s="1099"/>
      <c r="M83" s="1099"/>
      <c r="N83" s="1099"/>
      <c r="O83" s="1099">
        <f t="shared" si="92"/>
        <v>0</v>
      </c>
      <c r="P83" s="1019"/>
      <c r="Q83" s="1099"/>
      <c r="R83" s="1099"/>
      <c r="S83" s="1099"/>
      <c r="T83" s="1099">
        <f t="shared" si="93"/>
        <v>0</v>
      </c>
      <c r="U83" s="1019"/>
      <c r="V83" s="1099"/>
      <c r="W83" s="1099"/>
      <c r="X83" s="1099"/>
      <c r="Y83" s="1099">
        <f t="shared" si="94"/>
        <v>0</v>
      </c>
      <c r="Z83" s="1019"/>
      <c r="AA83" s="1099"/>
      <c r="AB83" s="1099"/>
      <c r="AC83" s="1099"/>
      <c r="AD83" s="1099">
        <f>SUM(AB83:AC83)</f>
        <v>0</v>
      </c>
      <c r="AE83" s="1019"/>
      <c r="AF83" s="1099"/>
      <c r="AG83" s="1099"/>
      <c r="AH83" s="1099"/>
      <c r="AI83" s="1099">
        <f>SUM(AG83:AH83)</f>
        <v>0</v>
      </c>
      <c r="AJ83" s="1019"/>
      <c r="AK83" s="1099"/>
      <c r="AL83" s="1099"/>
      <c r="AM83" s="1099"/>
      <c r="AN83" s="1099">
        <f t="shared" si="95"/>
        <v>0</v>
      </c>
      <c r="AO83" s="1019">
        <f t="shared" si="96"/>
        <v>0</v>
      </c>
      <c r="AP83" s="1099"/>
      <c r="AQ83" s="1099"/>
      <c r="AR83" s="1099"/>
      <c r="AS83" s="1099">
        <f t="shared" si="97"/>
        <v>0</v>
      </c>
      <c r="AT83" s="1019">
        <f t="shared" si="98"/>
        <v>0</v>
      </c>
      <c r="AU83" s="1099"/>
      <c r="AV83" s="1099"/>
      <c r="AW83" s="1099"/>
      <c r="AX83" s="1099">
        <f t="shared" si="99"/>
        <v>0</v>
      </c>
      <c r="AY83" s="1019">
        <f t="shared" si="100"/>
        <v>0</v>
      </c>
      <c r="AZ83" s="1099"/>
      <c r="BA83" s="1094"/>
      <c r="BB83" s="1099"/>
      <c r="BC83" s="1099">
        <f t="shared" si="101"/>
        <v>0</v>
      </c>
      <c r="BD83" s="1019">
        <f t="shared" si="102"/>
        <v>0</v>
      </c>
      <c r="BE83" s="1099"/>
      <c r="BF83" s="1094"/>
      <c r="BG83" s="1099"/>
      <c r="BH83" s="1099">
        <f t="shared" si="103"/>
        <v>0</v>
      </c>
      <c r="BI83" s="1019">
        <f t="shared" si="104"/>
        <v>0</v>
      </c>
      <c r="BJ83" s="1007">
        <f t="shared" si="105"/>
        <v>0</v>
      </c>
      <c r="BK83" s="1007">
        <f t="shared" si="105"/>
        <v>0</v>
      </c>
      <c r="BL83" s="1007">
        <f t="shared" si="105"/>
        <v>0</v>
      </c>
      <c r="BM83" s="1013">
        <f t="shared" si="105"/>
        <v>0</v>
      </c>
      <c r="BN83" s="1015">
        <f t="shared" si="105"/>
        <v>0</v>
      </c>
      <c r="BO83" s="1090">
        <f>BJ83+'4 bba Önkorm '!DM82</f>
        <v>0</v>
      </c>
      <c r="BP83" s="1090">
        <f>BK83+'4 bba Önkorm '!DN82</f>
        <v>0</v>
      </c>
      <c r="BQ83" s="1090">
        <f>BL83+'4 bba Önkorm '!DO82</f>
        <v>0</v>
      </c>
      <c r="BR83" s="1013">
        <f>BM83+'4 bba Önkorm '!DP82</f>
        <v>0</v>
      </c>
      <c r="BS83" s="1015">
        <f>BN83+'4 bba Önkorm '!DQ82</f>
        <v>0</v>
      </c>
    </row>
    <row r="84" spans="1:71" ht="15" customHeight="1">
      <c r="A84" s="630" t="s">
        <v>761</v>
      </c>
      <c r="C84" s="1099"/>
      <c r="D84" s="1099"/>
      <c r="E84" s="1099">
        <f t="shared" si="90"/>
        <v>0</v>
      </c>
      <c r="F84" s="1019"/>
      <c r="G84" s="1099"/>
      <c r="H84" s="1099"/>
      <c r="I84" s="1099"/>
      <c r="J84" s="1099">
        <f t="shared" si="91"/>
        <v>0</v>
      </c>
      <c r="K84" s="1019"/>
      <c r="L84" s="1099"/>
      <c r="M84" s="1099"/>
      <c r="N84" s="1099"/>
      <c r="O84" s="1099">
        <f t="shared" si="92"/>
        <v>0</v>
      </c>
      <c r="P84" s="1019"/>
      <c r="Q84" s="1099">
        <v>42000000</v>
      </c>
      <c r="R84" s="1099">
        <v>42000000</v>
      </c>
      <c r="S84" s="1099"/>
      <c r="T84" s="1099">
        <v>49301641</v>
      </c>
      <c r="U84" s="1019">
        <v>49301641</v>
      </c>
      <c r="V84" s="1099"/>
      <c r="W84" s="1099"/>
      <c r="X84" s="1099"/>
      <c r="Y84" s="1099">
        <f t="shared" si="94"/>
        <v>0</v>
      </c>
      <c r="Z84" s="1019"/>
      <c r="AA84" s="1099"/>
      <c r="AB84" s="1099"/>
      <c r="AC84" s="1099"/>
      <c r="AD84" s="1099">
        <f>SUM(AB84:AC84)</f>
        <v>0</v>
      </c>
      <c r="AE84" s="1019">
        <f>1502980-1502980</f>
        <v>0</v>
      </c>
      <c r="AF84" s="1099">
        <v>38300000</v>
      </c>
      <c r="AG84" s="1099">
        <v>38300000</v>
      </c>
      <c r="AH84" s="1099"/>
      <c r="AI84" s="1099">
        <f>SUM(AG84:AH84)</f>
        <v>38300000</v>
      </c>
      <c r="AJ84" s="1019">
        <v>32745076</v>
      </c>
      <c r="AK84" s="1099"/>
      <c r="AL84" s="1099"/>
      <c r="AM84" s="1099"/>
      <c r="AN84" s="1099">
        <f t="shared" si="95"/>
        <v>0</v>
      </c>
      <c r="AO84" s="1019">
        <f t="shared" si="96"/>
        <v>0</v>
      </c>
      <c r="AP84" s="1099"/>
      <c r="AQ84" s="1099"/>
      <c r="AR84" s="1099"/>
      <c r="AS84" s="1099">
        <f t="shared" si="97"/>
        <v>0</v>
      </c>
      <c r="AT84" s="1019">
        <f t="shared" si="98"/>
        <v>0</v>
      </c>
      <c r="AU84" s="1099"/>
      <c r="AV84" s="1099"/>
      <c r="AW84" s="1099"/>
      <c r="AX84" s="1099">
        <f t="shared" si="99"/>
        <v>0</v>
      </c>
      <c r="AY84" s="1019">
        <f t="shared" si="100"/>
        <v>0</v>
      </c>
      <c r="AZ84" s="1099"/>
      <c r="BA84" s="1094"/>
      <c r="BB84" s="1099"/>
      <c r="BC84" s="1099">
        <f t="shared" si="101"/>
        <v>0</v>
      </c>
      <c r="BD84" s="1019">
        <f t="shared" si="102"/>
        <v>0</v>
      </c>
      <c r="BE84" s="1099"/>
      <c r="BF84" s="1094"/>
      <c r="BG84" s="1099"/>
      <c r="BH84" s="1099">
        <f t="shared" si="103"/>
        <v>0</v>
      </c>
      <c r="BI84" s="1019">
        <f t="shared" si="104"/>
        <v>0</v>
      </c>
      <c r="BJ84" s="1007">
        <f t="shared" si="105"/>
        <v>80300000</v>
      </c>
      <c r="BK84" s="1007">
        <f t="shared" si="105"/>
        <v>80300000</v>
      </c>
      <c r="BL84" s="1007">
        <f t="shared" si="105"/>
        <v>0</v>
      </c>
      <c r="BM84" s="1013">
        <f t="shared" si="105"/>
        <v>87601641</v>
      </c>
      <c r="BN84" s="1015">
        <f t="shared" si="105"/>
        <v>82046717</v>
      </c>
      <c r="BO84" s="1090">
        <f>BJ84+'4 bba Önkorm '!DM83</f>
        <v>80300000</v>
      </c>
      <c r="BP84" s="1090">
        <f>BK84+'4 bba Önkorm '!DN83</f>
        <v>80300000</v>
      </c>
      <c r="BQ84" s="1090">
        <f>BL84+'4 bba Önkorm '!DO83</f>
        <v>0</v>
      </c>
      <c r="BR84" s="1013">
        <f>BM84+'4 bba Önkorm '!DP83</f>
        <v>87601641</v>
      </c>
      <c r="BS84" s="1015">
        <f>BN84+'4 bba Önkorm '!DQ83</f>
        <v>82046717</v>
      </c>
    </row>
    <row r="85" spans="1:71" ht="15" customHeight="1">
      <c r="A85" s="630" t="s">
        <v>762</v>
      </c>
      <c r="C85" s="1099"/>
      <c r="D85" s="1099"/>
      <c r="E85" s="1099">
        <f t="shared" si="90"/>
        <v>0</v>
      </c>
      <c r="F85" s="1019"/>
      <c r="G85" s="1099"/>
      <c r="H85" s="1099"/>
      <c r="I85" s="1099"/>
      <c r="J85" s="1099">
        <f t="shared" si="91"/>
        <v>0</v>
      </c>
      <c r="K85" s="1019"/>
      <c r="L85" s="1099"/>
      <c r="M85" s="1099"/>
      <c r="N85" s="1099"/>
      <c r="O85" s="1099">
        <f t="shared" si="92"/>
        <v>0</v>
      </c>
      <c r="P85" s="1019"/>
      <c r="Q85" s="1099">
        <v>5000000</v>
      </c>
      <c r="R85" s="1099">
        <v>5000000</v>
      </c>
      <c r="S85" s="1099"/>
      <c r="T85" s="1099">
        <v>13500000</v>
      </c>
      <c r="U85" s="1019">
        <v>11922278</v>
      </c>
      <c r="V85" s="1099"/>
      <c r="W85" s="1099"/>
      <c r="X85" s="1099"/>
      <c r="Y85" s="1099">
        <f t="shared" si="94"/>
        <v>0</v>
      </c>
      <c r="Z85" s="1019"/>
      <c r="AA85" s="1099"/>
      <c r="AB85" s="1099"/>
      <c r="AC85" s="1099"/>
      <c r="AD85" s="1099">
        <f>SUM(AB85:AC85)</f>
        <v>0</v>
      </c>
      <c r="AE85" s="1019"/>
      <c r="AF85" s="1099"/>
      <c r="AG85" s="1099"/>
      <c r="AH85" s="1099"/>
      <c r="AI85" s="1099">
        <f>SUM(AG85:AH85)</f>
        <v>0</v>
      </c>
      <c r="AJ85" s="1019"/>
      <c r="AK85" s="1099"/>
      <c r="AL85" s="1099"/>
      <c r="AM85" s="1099"/>
      <c r="AN85" s="1099">
        <f t="shared" si="95"/>
        <v>0</v>
      </c>
      <c r="AO85" s="1019">
        <f t="shared" si="96"/>
        <v>0</v>
      </c>
      <c r="AP85" s="1099"/>
      <c r="AQ85" s="1099"/>
      <c r="AR85" s="1099"/>
      <c r="AS85" s="1099">
        <f t="shared" si="97"/>
        <v>0</v>
      </c>
      <c r="AT85" s="1019">
        <f t="shared" si="98"/>
        <v>0</v>
      </c>
      <c r="AU85" s="1099"/>
      <c r="AV85" s="1099"/>
      <c r="AW85" s="1099"/>
      <c r="AX85" s="1099">
        <f t="shared" si="99"/>
        <v>0</v>
      </c>
      <c r="AY85" s="1019">
        <f t="shared" si="100"/>
        <v>0</v>
      </c>
      <c r="AZ85" s="1099"/>
      <c r="BA85" s="1094"/>
      <c r="BB85" s="1099"/>
      <c r="BC85" s="1099">
        <f t="shared" si="101"/>
        <v>0</v>
      </c>
      <c r="BD85" s="1019">
        <f t="shared" si="102"/>
        <v>0</v>
      </c>
      <c r="BE85" s="1099"/>
      <c r="BF85" s="1094"/>
      <c r="BG85" s="1099"/>
      <c r="BH85" s="1099">
        <f t="shared" si="103"/>
        <v>0</v>
      </c>
      <c r="BI85" s="1019">
        <f t="shared" si="104"/>
        <v>0</v>
      </c>
      <c r="BJ85" s="1007">
        <f t="shared" si="105"/>
        <v>5000000</v>
      </c>
      <c r="BK85" s="1007">
        <f t="shared" si="105"/>
        <v>5000000</v>
      </c>
      <c r="BL85" s="1007">
        <f t="shared" si="105"/>
        <v>0</v>
      </c>
      <c r="BM85" s="1013">
        <f t="shared" si="105"/>
        <v>13500000</v>
      </c>
      <c r="BN85" s="1015">
        <f t="shared" si="105"/>
        <v>11922278</v>
      </c>
      <c r="BO85" s="1090">
        <f>BJ85+'4 bba Önkorm '!DM84</f>
        <v>5000000</v>
      </c>
      <c r="BP85" s="1090">
        <f>BK85+'4 bba Önkorm '!DN84</f>
        <v>5000000</v>
      </c>
      <c r="BQ85" s="1090">
        <f>BL85+'4 bba Önkorm '!DO84</f>
        <v>0</v>
      </c>
      <c r="BR85" s="1013">
        <f>BM85+'4 bba Önkorm '!DP84</f>
        <v>13500000</v>
      </c>
      <c r="BS85" s="1015">
        <f>BN85+'4 bba Önkorm '!DQ84</f>
        <v>11922278</v>
      </c>
    </row>
    <row r="86" spans="1:71" ht="15" customHeight="1">
      <c r="A86" s="1055" t="s">
        <v>763</v>
      </c>
      <c r="B86" s="1198">
        <f t="shared" ref="B86:AG86" si="106">SUM(B78:B85)</f>
        <v>0</v>
      </c>
      <c r="C86" s="1198">
        <f t="shared" si="106"/>
        <v>0</v>
      </c>
      <c r="D86" s="1198">
        <f t="shared" si="106"/>
        <v>0</v>
      </c>
      <c r="E86" s="1198">
        <f t="shared" si="106"/>
        <v>0</v>
      </c>
      <c r="F86" s="1198">
        <f t="shared" si="106"/>
        <v>0</v>
      </c>
      <c r="G86" s="1198">
        <f t="shared" si="106"/>
        <v>0</v>
      </c>
      <c r="H86" s="1198">
        <f t="shared" si="106"/>
        <v>0</v>
      </c>
      <c r="I86" s="1198">
        <f t="shared" si="106"/>
        <v>0</v>
      </c>
      <c r="J86" s="1198">
        <f t="shared" si="106"/>
        <v>0</v>
      </c>
      <c r="K86" s="1198">
        <f t="shared" si="106"/>
        <v>0</v>
      </c>
      <c r="L86" s="1198">
        <f t="shared" si="106"/>
        <v>0</v>
      </c>
      <c r="M86" s="1198">
        <f t="shared" si="106"/>
        <v>0</v>
      </c>
      <c r="N86" s="1198">
        <f t="shared" si="106"/>
        <v>0</v>
      </c>
      <c r="O86" s="1198">
        <f t="shared" si="106"/>
        <v>0</v>
      </c>
      <c r="P86" s="1198">
        <f t="shared" si="106"/>
        <v>0</v>
      </c>
      <c r="Q86" s="1198">
        <f t="shared" si="106"/>
        <v>757058000</v>
      </c>
      <c r="R86" s="1198">
        <f t="shared" si="106"/>
        <v>757058000</v>
      </c>
      <c r="S86" s="1198">
        <f t="shared" si="106"/>
        <v>33342000</v>
      </c>
      <c r="T86" s="1198">
        <f t="shared" si="106"/>
        <v>806201641</v>
      </c>
      <c r="U86" s="1198">
        <f t="shared" si="106"/>
        <v>804623919</v>
      </c>
      <c r="V86" s="1198">
        <f t="shared" si="106"/>
        <v>0</v>
      </c>
      <c r="W86" s="1198">
        <f t="shared" si="106"/>
        <v>0</v>
      </c>
      <c r="X86" s="1198">
        <f t="shared" si="106"/>
        <v>0</v>
      </c>
      <c r="Y86" s="1198">
        <f t="shared" si="106"/>
        <v>0</v>
      </c>
      <c r="Z86" s="1198">
        <f t="shared" si="106"/>
        <v>0</v>
      </c>
      <c r="AA86" s="1198">
        <f t="shared" si="106"/>
        <v>0</v>
      </c>
      <c r="AB86" s="1198">
        <f t="shared" si="106"/>
        <v>20000000</v>
      </c>
      <c r="AC86" s="1198">
        <f t="shared" si="106"/>
        <v>0</v>
      </c>
      <c r="AD86" s="1198">
        <f t="shared" si="106"/>
        <v>23905868</v>
      </c>
      <c r="AE86" s="1198">
        <f t="shared" si="106"/>
        <v>3905868</v>
      </c>
      <c r="AF86" s="1198">
        <f t="shared" si="106"/>
        <v>38300000</v>
      </c>
      <c r="AG86" s="1198">
        <f t="shared" si="106"/>
        <v>38300000</v>
      </c>
      <c r="AH86" s="1198">
        <f t="shared" ref="AH86:BN86" si="107">SUM(AH78:AH85)</f>
        <v>0</v>
      </c>
      <c r="AI86" s="1198">
        <f t="shared" si="107"/>
        <v>40134191</v>
      </c>
      <c r="AJ86" s="1198">
        <f t="shared" si="107"/>
        <v>34579267</v>
      </c>
      <c r="AK86" s="1198">
        <f t="shared" si="107"/>
        <v>0</v>
      </c>
      <c r="AL86" s="1198">
        <f t="shared" si="107"/>
        <v>0</v>
      </c>
      <c r="AM86" s="1198">
        <f t="shared" si="107"/>
        <v>0</v>
      </c>
      <c r="AN86" s="1198">
        <f t="shared" si="107"/>
        <v>0</v>
      </c>
      <c r="AO86" s="1198">
        <f t="shared" si="107"/>
        <v>0</v>
      </c>
      <c r="AP86" s="1198">
        <f t="shared" si="107"/>
        <v>0</v>
      </c>
      <c r="AQ86" s="1198">
        <f t="shared" si="107"/>
        <v>0</v>
      </c>
      <c r="AR86" s="1198">
        <f t="shared" si="107"/>
        <v>0</v>
      </c>
      <c r="AS86" s="1198">
        <f t="shared" si="107"/>
        <v>0</v>
      </c>
      <c r="AT86" s="1198">
        <f t="shared" si="107"/>
        <v>0</v>
      </c>
      <c r="AU86" s="1198">
        <f t="shared" si="107"/>
        <v>0</v>
      </c>
      <c r="AV86" s="1198">
        <f t="shared" si="107"/>
        <v>0</v>
      </c>
      <c r="AW86" s="1198">
        <f t="shared" si="107"/>
        <v>0</v>
      </c>
      <c r="AX86" s="1198">
        <f t="shared" si="107"/>
        <v>0</v>
      </c>
      <c r="AY86" s="1198">
        <f t="shared" si="107"/>
        <v>0</v>
      </c>
      <c r="AZ86" s="1198">
        <f t="shared" si="107"/>
        <v>0</v>
      </c>
      <c r="BA86" s="1198">
        <f t="shared" si="107"/>
        <v>0</v>
      </c>
      <c r="BB86" s="1198">
        <f t="shared" si="107"/>
        <v>0</v>
      </c>
      <c r="BC86" s="1198">
        <f t="shared" si="107"/>
        <v>0</v>
      </c>
      <c r="BD86" s="1198">
        <f t="shared" si="107"/>
        <v>0</v>
      </c>
      <c r="BE86" s="1198">
        <f t="shared" si="107"/>
        <v>0</v>
      </c>
      <c r="BF86" s="1198">
        <f t="shared" si="107"/>
        <v>0</v>
      </c>
      <c r="BG86" s="1198">
        <f t="shared" si="107"/>
        <v>0</v>
      </c>
      <c r="BH86" s="1198">
        <f t="shared" si="107"/>
        <v>0</v>
      </c>
      <c r="BI86" s="1198">
        <f t="shared" si="107"/>
        <v>0</v>
      </c>
      <c r="BJ86" s="1023">
        <f t="shared" si="107"/>
        <v>795358000</v>
      </c>
      <c r="BK86" s="1023">
        <f t="shared" si="107"/>
        <v>815358000</v>
      </c>
      <c r="BL86" s="1023">
        <f t="shared" si="107"/>
        <v>33342000</v>
      </c>
      <c r="BM86" s="1023">
        <f t="shared" si="107"/>
        <v>870241700</v>
      </c>
      <c r="BN86" s="1023">
        <f t="shared" si="107"/>
        <v>843109054</v>
      </c>
      <c r="BO86" s="1023">
        <f t="shared" ref="BO86:BS86" si="108">SUM(BO78:BO85)</f>
        <v>1086478000</v>
      </c>
      <c r="BP86" s="1023">
        <f t="shared" si="108"/>
        <v>1106478000</v>
      </c>
      <c r="BQ86" s="1023">
        <f t="shared" si="108"/>
        <v>33342000</v>
      </c>
      <c r="BR86" s="1023">
        <f t="shared" si="108"/>
        <v>1165361700</v>
      </c>
      <c r="BS86" s="1023">
        <f t="shared" si="108"/>
        <v>1115058909</v>
      </c>
    </row>
    <row r="87" spans="1:71" ht="15" customHeight="1">
      <c r="A87" s="1054" t="s">
        <v>764</v>
      </c>
      <c r="B87" s="1023">
        <f t="shared" ref="B87:AG87" si="109">B86+B77</f>
        <v>0</v>
      </c>
      <c r="C87" s="1023">
        <f t="shared" si="109"/>
        <v>0</v>
      </c>
      <c r="D87" s="1023">
        <f t="shared" si="109"/>
        <v>0</v>
      </c>
      <c r="E87" s="1023">
        <f t="shared" si="109"/>
        <v>0</v>
      </c>
      <c r="F87" s="1023">
        <f t="shared" si="109"/>
        <v>0</v>
      </c>
      <c r="G87" s="1023">
        <f t="shared" si="109"/>
        <v>0</v>
      </c>
      <c r="H87" s="1023">
        <f t="shared" si="109"/>
        <v>0</v>
      </c>
      <c r="I87" s="1023">
        <f t="shared" si="109"/>
        <v>0</v>
      </c>
      <c r="J87" s="1023">
        <f t="shared" si="109"/>
        <v>0</v>
      </c>
      <c r="K87" s="1023">
        <f t="shared" si="109"/>
        <v>3</v>
      </c>
      <c r="L87" s="1023">
        <f t="shared" si="109"/>
        <v>0</v>
      </c>
      <c r="M87" s="1023">
        <f t="shared" si="109"/>
        <v>0</v>
      </c>
      <c r="N87" s="1023">
        <f t="shared" si="109"/>
        <v>0</v>
      </c>
      <c r="O87" s="1023">
        <f t="shared" si="109"/>
        <v>1000000</v>
      </c>
      <c r="P87" s="1023">
        <f t="shared" si="109"/>
        <v>1000027</v>
      </c>
      <c r="Q87" s="1023">
        <f t="shared" si="109"/>
        <v>809195000</v>
      </c>
      <c r="R87" s="1023">
        <f t="shared" si="109"/>
        <v>809195000</v>
      </c>
      <c r="S87" s="1023">
        <f t="shared" si="109"/>
        <v>-25000</v>
      </c>
      <c r="T87" s="1023">
        <f t="shared" si="109"/>
        <v>827832237</v>
      </c>
      <c r="U87" s="1023">
        <f t="shared" si="109"/>
        <v>807309916</v>
      </c>
      <c r="V87" s="1023">
        <f t="shared" si="109"/>
        <v>25340000</v>
      </c>
      <c r="W87" s="1023">
        <f t="shared" si="109"/>
        <v>25340000</v>
      </c>
      <c r="X87" s="1023">
        <f t="shared" si="109"/>
        <v>0</v>
      </c>
      <c r="Y87" s="1023">
        <f t="shared" si="109"/>
        <v>61053375</v>
      </c>
      <c r="Z87" s="1023">
        <f t="shared" si="109"/>
        <v>52078381</v>
      </c>
      <c r="AA87" s="1023">
        <f t="shared" si="109"/>
        <v>25429000</v>
      </c>
      <c r="AB87" s="1023">
        <f t="shared" si="109"/>
        <v>45429000</v>
      </c>
      <c r="AC87" s="1023">
        <f t="shared" si="109"/>
        <v>0</v>
      </c>
      <c r="AD87" s="1023">
        <f t="shared" si="109"/>
        <v>57955237</v>
      </c>
      <c r="AE87" s="1023">
        <f t="shared" si="109"/>
        <v>37096992</v>
      </c>
      <c r="AF87" s="1023">
        <f t="shared" si="109"/>
        <v>10539763498</v>
      </c>
      <c r="AG87" s="1023">
        <f t="shared" si="109"/>
        <v>10718655399</v>
      </c>
      <c r="AH87" s="1023">
        <f t="shared" ref="AH87:BN87" si="110">AH86+AH77</f>
        <v>29775401</v>
      </c>
      <c r="AI87" s="1023">
        <f t="shared" si="110"/>
        <v>11123068992</v>
      </c>
      <c r="AJ87" s="1023">
        <f t="shared" si="110"/>
        <v>11095642553</v>
      </c>
      <c r="AK87" s="1023">
        <f t="shared" si="110"/>
        <v>0</v>
      </c>
      <c r="AL87" s="1023">
        <f t="shared" si="110"/>
        <v>0</v>
      </c>
      <c r="AM87" s="1023">
        <f t="shared" si="110"/>
        <v>0</v>
      </c>
      <c r="AN87" s="1023">
        <f t="shared" si="110"/>
        <v>0</v>
      </c>
      <c r="AO87" s="1023">
        <f t="shared" si="110"/>
        <v>0</v>
      </c>
      <c r="AP87" s="1023">
        <f t="shared" si="110"/>
        <v>0</v>
      </c>
      <c r="AQ87" s="1023">
        <f t="shared" si="110"/>
        <v>0</v>
      </c>
      <c r="AR87" s="1023">
        <f t="shared" si="110"/>
        <v>0</v>
      </c>
      <c r="AS87" s="1023">
        <f t="shared" si="110"/>
        <v>0</v>
      </c>
      <c r="AT87" s="1023">
        <f t="shared" si="110"/>
        <v>0</v>
      </c>
      <c r="AU87" s="1023">
        <f t="shared" si="110"/>
        <v>0</v>
      </c>
      <c r="AV87" s="1023">
        <f t="shared" si="110"/>
        <v>0</v>
      </c>
      <c r="AW87" s="1023">
        <f t="shared" si="110"/>
        <v>0</v>
      </c>
      <c r="AX87" s="1023">
        <f t="shared" si="110"/>
        <v>0</v>
      </c>
      <c r="AY87" s="1023">
        <f t="shared" si="110"/>
        <v>0</v>
      </c>
      <c r="AZ87" s="1023">
        <f t="shared" si="110"/>
        <v>0</v>
      </c>
      <c r="BA87" s="1023">
        <f t="shared" si="110"/>
        <v>0</v>
      </c>
      <c r="BB87" s="1023">
        <f t="shared" si="110"/>
        <v>0</v>
      </c>
      <c r="BC87" s="1023">
        <f t="shared" si="110"/>
        <v>0</v>
      </c>
      <c r="BD87" s="1023">
        <f t="shared" si="110"/>
        <v>0</v>
      </c>
      <c r="BE87" s="1023">
        <f t="shared" si="110"/>
        <v>0</v>
      </c>
      <c r="BF87" s="1023">
        <f t="shared" si="110"/>
        <v>0</v>
      </c>
      <c r="BG87" s="1023">
        <f t="shared" si="110"/>
        <v>0</v>
      </c>
      <c r="BH87" s="1023">
        <f t="shared" si="110"/>
        <v>0</v>
      </c>
      <c r="BI87" s="1023">
        <f t="shared" si="110"/>
        <v>0</v>
      </c>
      <c r="BJ87" s="1023">
        <f t="shared" si="110"/>
        <v>11399727498</v>
      </c>
      <c r="BK87" s="1023">
        <f t="shared" si="110"/>
        <v>11598619399</v>
      </c>
      <c r="BL87" s="1023">
        <f t="shared" si="110"/>
        <v>29750401</v>
      </c>
      <c r="BM87" s="1023">
        <f t="shared" si="110"/>
        <v>12070909841</v>
      </c>
      <c r="BN87" s="1023">
        <f t="shared" si="110"/>
        <v>11993127872</v>
      </c>
      <c r="BO87" s="1023">
        <f>BO86+BO77</f>
        <v>12185630498</v>
      </c>
      <c r="BP87" s="1023">
        <f>BP86+BP77</f>
        <v>12384522399</v>
      </c>
      <c r="BQ87" s="1023">
        <f>BQ86+BQ77</f>
        <v>34338748</v>
      </c>
      <c r="BR87" s="1023">
        <f>BR86+BR77</f>
        <v>12875012000</v>
      </c>
      <c r="BS87" s="1023">
        <f>BS86+BS77</f>
        <v>12756979530</v>
      </c>
    </row>
    <row r="88" spans="1:71" ht="15" customHeight="1">
      <c r="A88" s="630" t="s">
        <v>765</v>
      </c>
      <c r="C88" s="1099"/>
      <c r="D88" s="1099"/>
      <c r="E88" s="1099">
        <f t="shared" ref="E88:E103" si="111">SUM(C88:D88)</f>
        <v>0</v>
      </c>
      <c r="F88" s="1099"/>
      <c r="G88" s="1099"/>
      <c r="H88" s="1099"/>
      <c r="I88" s="1099"/>
      <c r="J88" s="1099">
        <f t="shared" ref="J88:J103" si="112">SUM(H88:I88)</f>
        <v>0</v>
      </c>
      <c r="K88" s="1099"/>
      <c r="L88" s="1099"/>
      <c r="M88" s="1099"/>
      <c r="N88" s="1099"/>
      <c r="O88" s="1099">
        <f t="shared" ref="O88:O103" si="113">SUM(M88:N88)</f>
        <v>0</v>
      </c>
      <c r="P88" s="1099"/>
      <c r="Q88" s="1099"/>
      <c r="R88" s="1099"/>
      <c r="S88" s="1099"/>
      <c r="T88" s="1099">
        <f t="shared" ref="T88:T103" si="114">SUM(R88:S88)</f>
        <v>0</v>
      </c>
      <c r="U88" s="1099"/>
      <c r="V88" s="1099"/>
      <c r="W88" s="1099"/>
      <c r="X88" s="1099"/>
      <c r="Y88" s="1099">
        <f t="shared" ref="Y88:Y103" si="115">SUM(W88:X88)</f>
        <v>0</v>
      </c>
      <c r="Z88" s="1099"/>
      <c r="AA88" s="1099"/>
      <c r="AB88" s="1099"/>
      <c r="AC88" s="1099"/>
      <c r="AD88" s="1099">
        <f t="shared" ref="AD88:AD103" si="116">SUM(AB88:AC88)</f>
        <v>0</v>
      </c>
      <c r="AE88" s="1099"/>
      <c r="AF88" s="1099"/>
      <c r="AG88" s="1099"/>
      <c r="AH88" s="1099"/>
      <c r="AI88" s="1099">
        <f>SUM(AG88:AH88)</f>
        <v>0</v>
      </c>
      <c r="AJ88" s="1099"/>
      <c r="AK88" s="1099"/>
      <c r="AL88" s="1099"/>
      <c r="AM88" s="1099"/>
      <c r="AN88" s="1099">
        <f t="shared" ref="AN88:AN103" si="117">SUM(AL88:AM88)</f>
        <v>0</v>
      </c>
      <c r="AO88" s="1099"/>
      <c r="AP88" s="1099"/>
      <c r="AQ88" s="1099"/>
      <c r="AR88" s="1099"/>
      <c r="AS88" s="1099">
        <f t="shared" ref="AS88:AS103" si="118">SUM(AQ88:AR88)</f>
        <v>0</v>
      </c>
      <c r="AT88" s="1099"/>
      <c r="AU88" s="1099"/>
      <c r="AV88" s="1099"/>
      <c r="AW88" s="1099"/>
      <c r="AX88" s="1099">
        <f t="shared" ref="AX88:AX103" si="119">SUM(AV88:AW88)</f>
        <v>0</v>
      </c>
      <c r="AY88" s="1099"/>
      <c r="AZ88" s="1099"/>
      <c r="BA88" s="1094"/>
      <c r="BB88" s="1099"/>
      <c r="BC88" s="1099">
        <f t="shared" ref="BC88:BC103" si="120">SUM(BA88+BB88)</f>
        <v>0</v>
      </c>
      <c r="BD88" s="1099"/>
      <c r="BE88" s="1099"/>
      <c r="BF88" s="1094"/>
      <c r="BG88" s="1099"/>
      <c r="BH88" s="1099">
        <f t="shared" ref="BH88:BH103" si="121">SUM(BF88+BG88)</f>
        <v>0</v>
      </c>
      <c r="BI88" s="1099"/>
      <c r="BJ88" s="1013"/>
      <c r="BK88" s="1007">
        <f t="shared" ref="BK88:BK103" si="122">SUM(C88+H88+M88+R88+W88+AB88+AG88+AL88+AQ88+AV88+BA88+BF88)</f>
        <v>0</v>
      </c>
      <c r="BL88" s="1007">
        <f t="shared" ref="BL88:BL103" si="123">SUM(D88+I88+N88+S88+X88+AC88+AH88+AM88+AR88+AW88+BB88+BG88)</f>
        <v>0</v>
      </c>
      <c r="BM88" s="1013">
        <f>SUM(BK88+BL88)</f>
        <v>0</v>
      </c>
      <c r="BN88" s="435"/>
      <c r="BO88" s="1013"/>
      <c r="BP88" s="1090">
        <f>M88+BF88</f>
        <v>0</v>
      </c>
      <c r="BQ88" s="1090">
        <f>N88+BG88</f>
        <v>0</v>
      </c>
      <c r="BR88" s="1013">
        <f>SUM(BP88:BQ88)</f>
        <v>0</v>
      </c>
      <c r="BS88" s="435"/>
    </row>
    <row r="89" spans="1:71" ht="15" customHeight="1">
      <c r="A89" s="405" t="s">
        <v>766</v>
      </c>
      <c r="B89" s="321"/>
      <c r="C89" s="1099"/>
      <c r="D89" s="1099"/>
      <c r="E89" s="1099">
        <f t="shared" si="111"/>
        <v>0</v>
      </c>
      <c r="F89" s="1099"/>
      <c r="G89" s="1099"/>
      <c r="H89" s="1099"/>
      <c r="I89" s="1099"/>
      <c r="J89" s="1099">
        <f t="shared" si="112"/>
        <v>0</v>
      </c>
      <c r="K89" s="1099"/>
      <c r="L89" s="1099"/>
      <c r="M89" s="1099"/>
      <c r="N89" s="1099"/>
      <c r="O89" s="1099">
        <f t="shared" si="113"/>
        <v>0</v>
      </c>
      <c r="P89" s="1099"/>
      <c r="Q89" s="1099"/>
      <c r="R89" s="1099"/>
      <c r="S89" s="1099"/>
      <c r="T89" s="1099">
        <f t="shared" si="114"/>
        <v>0</v>
      </c>
      <c r="U89" s="1099"/>
      <c r="V89" s="1099"/>
      <c r="W89" s="1099"/>
      <c r="X89" s="1099"/>
      <c r="Y89" s="1099">
        <f t="shared" si="115"/>
        <v>0</v>
      </c>
      <c r="Z89" s="1099"/>
      <c r="AA89" s="1099"/>
      <c r="AB89" s="1099"/>
      <c r="AC89" s="1099"/>
      <c r="AD89" s="1099">
        <f t="shared" si="116"/>
        <v>0</v>
      </c>
      <c r="AE89" s="1099"/>
      <c r="AF89" s="1099"/>
      <c r="AG89" s="1099"/>
      <c r="AH89" s="1099"/>
      <c r="AI89" s="1099">
        <f>SUM(AG89:AH89)</f>
        <v>0</v>
      </c>
      <c r="AJ89" s="1099"/>
      <c r="AK89" s="1099"/>
      <c r="AL89" s="1099"/>
      <c r="AM89" s="1099"/>
      <c r="AN89" s="1099">
        <f t="shared" si="117"/>
        <v>0</v>
      </c>
      <c r="AO89" s="1099"/>
      <c r="AP89" s="1099"/>
      <c r="AQ89" s="1099"/>
      <c r="AR89" s="1099"/>
      <c r="AS89" s="1099">
        <f t="shared" si="118"/>
        <v>0</v>
      </c>
      <c r="AT89" s="1099"/>
      <c r="AU89" s="1099"/>
      <c r="AV89" s="1099"/>
      <c r="AW89" s="1099"/>
      <c r="AX89" s="1099">
        <f t="shared" si="119"/>
        <v>0</v>
      </c>
      <c r="AY89" s="1099"/>
      <c r="AZ89" s="1099"/>
      <c r="BA89" s="1094"/>
      <c r="BB89" s="1099"/>
      <c r="BC89" s="1099">
        <f t="shared" si="120"/>
        <v>0</v>
      </c>
      <c r="BD89" s="1099"/>
      <c r="BE89" s="1099"/>
      <c r="BF89" s="1094"/>
      <c r="BG89" s="1099"/>
      <c r="BH89" s="1099">
        <f t="shared" si="121"/>
        <v>0</v>
      </c>
      <c r="BI89" s="1099"/>
      <c r="BJ89" s="1013"/>
      <c r="BK89" s="1007">
        <f t="shared" si="122"/>
        <v>0</v>
      </c>
      <c r="BL89" s="1007">
        <f t="shared" si="123"/>
        <v>0</v>
      </c>
      <c r="BM89" s="1013">
        <f>SUM(BK89+BL89)</f>
        <v>0</v>
      </c>
      <c r="BN89" s="1013">
        <f>SUM(BL89+BM89)</f>
        <v>0</v>
      </c>
      <c r="BO89" s="1013"/>
      <c r="BP89" s="1090">
        <f>M89+BF89</f>
        <v>0</v>
      </c>
      <c r="BQ89" s="1090">
        <f>N89+BG89</f>
        <v>0</v>
      </c>
      <c r="BR89" s="1013">
        <f>SUM(BP89:BQ89)</f>
        <v>0</v>
      </c>
      <c r="BS89" s="1013">
        <f>SUM(BQ89:BR89)</f>
        <v>0</v>
      </c>
    </row>
    <row r="90" spans="1:71" ht="15" customHeight="1">
      <c r="A90" s="405" t="s">
        <v>767</v>
      </c>
      <c r="B90" s="321"/>
      <c r="C90" s="1099"/>
      <c r="D90" s="1099"/>
      <c r="E90" s="1099">
        <f t="shared" si="111"/>
        <v>0</v>
      </c>
      <c r="F90" s="1019">
        <f t="shared" ref="F90:F95" si="124">C90-B90</f>
        <v>0</v>
      </c>
      <c r="G90" s="1099"/>
      <c r="H90" s="1099"/>
      <c r="I90" s="1099"/>
      <c r="J90" s="1099">
        <f t="shared" si="112"/>
        <v>0</v>
      </c>
      <c r="K90" s="1019">
        <f t="shared" ref="K90:K95" si="125">H90-G90</f>
        <v>0</v>
      </c>
      <c r="L90" s="1099"/>
      <c r="M90" s="1099"/>
      <c r="N90" s="1099"/>
      <c r="O90" s="1099">
        <f t="shared" si="113"/>
        <v>0</v>
      </c>
      <c r="P90" s="1019">
        <f t="shared" ref="P90:P95" si="126">M90-L90</f>
        <v>0</v>
      </c>
      <c r="Q90" s="1099"/>
      <c r="R90" s="1099"/>
      <c r="S90" s="1099"/>
      <c r="T90" s="1099">
        <f t="shared" si="114"/>
        <v>0</v>
      </c>
      <c r="U90" s="1019">
        <f t="shared" ref="U90:U95" si="127">R90-Q90</f>
        <v>0</v>
      </c>
      <c r="V90" s="1099"/>
      <c r="W90" s="1099"/>
      <c r="X90" s="1099"/>
      <c r="Y90" s="1099">
        <f t="shared" si="115"/>
        <v>0</v>
      </c>
      <c r="Z90" s="1019">
        <f t="shared" ref="Z90:Z95" si="128">W90-V90</f>
        <v>0</v>
      </c>
      <c r="AA90" s="1099"/>
      <c r="AB90" s="1099"/>
      <c r="AC90" s="1099"/>
      <c r="AD90" s="1099">
        <f t="shared" si="116"/>
        <v>0</v>
      </c>
      <c r="AE90" s="1019">
        <f t="shared" ref="AE90:AE95" si="129">AB90-AA90</f>
        <v>0</v>
      </c>
      <c r="AF90" s="1099"/>
      <c r="AG90" s="1099"/>
      <c r="AH90" s="1099"/>
      <c r="AI90" s="1099">
        <f>SUM(AG90:AH90)</f>
        <v>0</v>
      </c>
      <c r="AJ90" s="1019">
        <f>AG90-AF90</f>
        <v>0</v>
      </c>
      <c r="AK90" s="1099"/>
      <c r="AL90" s="1099"/>
      <c r="AM90" s="1099"/>
      <c r="AN90" s="1099">
        <f t="shared" si="117"/>
        <v>0</v>
      </c>
      <c r="AO90" s="1019">
        <f t="shared" ref="AO90:AO97" si="130">AL90-AK90</f>
        <v>0</v>
      </c>
      <c r="AP90" s="1099"/>
      <c r="AQ90" s="1099"/>
      <c r="AR90" s="1099"/>
      <c r="AS90" s="1099">
        <f t="shared" si="118"/>
        <v>0</v>
      </c>
      <c r="AT90" s="1019">
        <f t="shared" ref="AT90:AT97" si="131">AQ90-AP90</f>
        <v>0</v>
      </c>
      <c r="AU90" s="1099"/>
      <c r="AV90" s="1099"/>
      <c r="AW90" s="1099"/>
      <c r="AX90" s="1099">
        <f t="shared" si="119"/>
        <v>0</v>
      </c>
      <c r="AY90" s="1019">
        <f t="shared" ref="AY90:AY97" si="132">AV90-AU90</f>
        <v>0</v>
      </c>
      <c r="AZ90" s="1099"/>
      <c r="BA90" s="1094"/>
      <c r="BB90" s="1099"/>
      <c r="BC90" s="1099">
        <f t="shared" si="120"/>
        <v>0</v>
      </c>
      <c r="BD90" s="1019">
        <f t="shared" ref="BD90:BD97" si="133">BA90-AZ90</f>
        <v>0</v>
      </c>
      <c r="BE90" s="1099"/>
      <c r="BF90" s="1094"/>
      <c r="BG90" s="1099"/>
      <c r="BH90" s="1099">
        <f t="shared" si="121"/>
        <v>0</v>
      </c>
      <c r="BI90" s="1019">
        <f t="shared" ref="BI90:BI97" si="134">BF90-BE90</f>
        <v>0</v>
      </c>
      <c r="BJ90" s="1007">
        <f t="shared" ref="BJ90:BJ97" si="135">SUM(B90+G90+L90+Q90+V90+AA90+AF90+AK90+AP90+AU90+AZ90+BE90)</f>
        <v>0</v>
      </c>
      <c r="BK90" s="1007">
        <f t="shared" si="122"/>
        <v>0</v>
      </c>
      <c r="BL90" s="1007">
        <f t="shared" si="123"/>
        <v>0</v>
      </c>
      <c r="BM90" s="1013">
        <f>SUM(BK90+BL90)</f>
        <v>0</v>
      </c>
      <c r="BN90" s="1013">
        <f>SUM(BL90+BM90)</f>
        <v>0</v>
      </c>
      <c r="BO90" s="1090">
        <f>BJ90+'4 bba Önkorm '!DM89</f>
        <v>0</v>
      </c>
      <c r="BP90" s="1090">
        <f>BK90+'4 bba Önkorm '!DN89</f>
        <v>0</v>
      </c>
      <c r="BQ90" s="1090">
        <f>BL90+'4 bba Önkorm '!DO89</f>
        <v>0</v>
      </c>
      <c r="BR90" s="1013">
        <f>BM90+'4 bba Önkorm '!DP89</f>
        <v>0</v>
      </c>
      <c r="BS90" s="1013">
        <f>SUM(BQ90:BR90)</f>
        <v>0</v>
      </c>
    </row>
    <row r="91" spans="1:71" ht="15" customHeight="1">
      <c r="A91" s="405" t="s">
        <v>768</v>
      </c>
      <c r="B91" s="321"/>
      <c r="C91" s="1099"/>
      <c r="D91" s="1099"/>
      <c r="E91" s="1099">
        <f t="shared" si="111"/>
        <v>0</v>
      </c>
      <c r="F91" s="1019">
        <f t="shared" si="124"/>
        <v>0</v>
      </c>
      <c r="G91" s="1099"/>
      <c r="H91" s="1099"/>
      <c r="I91" s="1099"/>
      <c r="J91" s="1099">
        <f t="shared" si="112"/>
        <v>0</v>
      </c>
      <c r="K91" s="1019">
        <f t="shared" si="125"/>
        <v>0</v>
      </c>
      <c r="L91" s="1099"/>
      <c r="M91" s="1099"/>
      <c r="N91" s="1099"/>
      <c r="O91" s="1099">
        <f t="shared" si="113"/>
        <v>0</v>
      </c>
      <c r="P91" s="1019">
        <f t="shared" si="126"/>
        <v>0</v>
      </c>
      <c r="Q91" s="1099"/>
      <c r="R91" s="1099"/>
      <c r="S91" s="1099"/>
      <c r="T91" s="1099">
        <f t="shared" si="114"/>
        <v>0</v>
      </c>
      <c r="U91" s="1019">
        <f t="shared" si="127"/>
        <v>0</v>
      </c>
      <c r="V91" s="1099"/>
      <c r="W91" s="1099"/>
      <c r="X91" s="1099"/>
      <c r="Y91" s="1099">
        <f t="shared" si="115"/>
        <v>0</v>
      </c>
      <c r="Z91" s="1019">
        <f t="shared" si="128"/>
        <v>0</v>
      </c>
      <c r="AA91" s="1099"/>
      <c r="AB91" s="1099"/>
      <c r="AC91" s="1099"/>
      <c r="AD91" s="1099">
        <f t="shared" si="116"/>
        <v>0</v>
      </c>
      <c r="AE91" s="1019">
        <f t="shared" si="129"/>
        <v>0</v>
      </c>
      <c r="AF91" s="1099"/>
      <c r="AG91" s="1099"/>
      <c r="AH91" s="1099"/>
      <c r="AI91" s="1099">
        <f>SUM(AG91:AH91)</f>
        <v>0</v>
      </c>
      <c r="AJ91" s="1019">
        <f>AG91-AF91</f>
        <v>0</v>
      </c>
      <c r="AK91" s="1099"/>
      <c r="AL91" s="1099"/>
      <c r="AM91" s="1099"/>
      <c r="AN91" s="1099">
        <f t="shared" si="117"/>
        <v>0</v>
      </c>
      <c r="AO91" s="1019">
        <f t="shared" si="130"/>
        <v>0</v>
      </c>
      <c r="AP91" s="1099"/>
      <c r="AQ91" s="1099"/>
      <c r="AR91" s="1099"/>
      <c r="AS91" s="1099">
        <f t="shared" si="118"/>
        <v>0</v>
      </c>
      <c r="AT91" s="1019">
        <f t="shared" si="131"/>
        <v>0</v>
      </c>
      <c r="AU91" s="1099"/>
      <c r="AV91" s="1099"/>
      <c r="AW91" s="1099"/>
      <c r="AX91" s="1099">
        <f t="shared" si="119"/>
        <v>0</v>
      </c>
      <c r="AY91" s="1019">
        <f t="shared" si="132"/>
        <v>0</v>
      </c>
      <c r="AZ91" s="1099"/>
      <c r="BA91" s="1094"/>
      <c r="BB91" s="1099"/>
      <c r="BC91" s="1099">
        <f t="shared" si="120"/>
        <v>0</v>
      </c>
      <c r="BD91" s="1019">
        <f t="shared" si="133"/>
        <v>0</v>
      </c>
      <c r="BE91" s="1099"/>
      <c r="BF91" s="1094"/>
      <c r="BG91" s="1099"/>
      <c r="BH91" s="1099">
        <f t="shared" si="121"/>
        <v>0</v>
      </c>
      <c r="BI91" s="1019">
        <f t="shared" si="134"/>
        <v>0</v>
      </c>
      <c r="BJ91" s="1007">
        <f t="shared" si="135"/>
        <v>0</v>
      </c>
      <c r="BK91" s="1007">
        <f t="shared" si="122"/>
        <v>0</v>
      </c>
      <c r="BL91" s="1007">
        <f t="shared" si="123"/>
        <v>0</v>
      </c>
      <c r="BM91" s="1013">
        <f t="shared" ref="BM91:BN103" si="136">SUM(E91+J91+O91+T91+Y91+AD91+AI91+AN91+AS91+AX91+BC91+BH91)</f>
        <v>0</v>
      </c>
      <c r="BN91" s="1013">
        <f>SUM(BL91+BM91)</f>
        <v>0</v>
      </c>
      <c r="BO91" s="1090">
        <f>BJ91+'4 bba Önkorm '!DM90</f>
        <v>0</v>
      </c>
      <c r="BP91" s="1090">
        <f>BK91+'4 bba Önkorm '!DN90</f>
        <v>0</v>
      </c>
      <c r="BQ91" s="1090">
        <f>BL91+'4 bba Önkorm '!DO90</f>
        <v>0</v>
      </c>
      <c r="BR91" s="1013">
        <f>BM91+'4 bba Önkorm '!DP90</f>
        <v>0</v>
      </c>
      <c r="BS91" s="1013">
        <f>SUM(BQ91:BR91)</f>
        <v>0</v>
      </c>
    </row>
    <row r="92" spans="1:71" ht="15" customHeight="1">
      <c r="A92" s="405" t="s">
        <v>769</v>
      </c>
      <c r="B92" s="321"/>
      <c r="C92" s="1099"/>
      <c r="D92" s="1099"/>
      <c r="E92" s="1099">
        <f t="shared" si="111"/>
        <v>0</v>
      </c>
      <c r="F92" s="1019">
        <f t="shared" si="124"/>
        <v>0</v>
      </c>
      <c r="G92" s="1099"/>
      <c r="H92" s="1099"/>
      <c r="I92" s="1099"/>
      <c r="J92" s="1099">
        <f t="shared" si="112"/>
        <v>0</v>
      </c>
      <c r="K92" s="1019">
        <f t="shared" si="125"/>
        <v>0</v>
      </c>
      <c r="L92" s="1099"/>
      <c r="M92" s="1099"/>
      <c r="N92" s="1099"/>
      <c r="O92" s="1099">
        <f t="shared" si="113"/>
        <v>0</v>
      </c>
      <c r="P92" s="1019">
        <f t="shared" si="126"/>
        <v>0</v>
      </c>
      <c r="Q92" s="1099"/>
      <c r="R92" s="1099"/>
      <c r="S92" s="1099"/>
      <c r="T92" s="1099">
        <f t="shared" si="114"/>
        <v>0</v>
      </c>
      <c r="U92" s="1019">
        <f t="shared" si="127"/>
        <v>0</v>
      </c>
      <c r="V92" s="1099"/>
      <c r="W92" s="1099"/>
      <c r="X92" s="1099"/>
      <c r="Y92" s="1099">
        <f t="shared" si="115"/>
        <v>0</v>
      </c>
      <c r="Z92" s="1019">
        <f t="shared" si="128"/>
        <v>0</v>
      </c>
      <c r="AA92" s="1099"/>
      <c r="AB92" s="1099"/>
      <c r="AC92" s="1099"/>
      <c r="AD92" s="1099">
        <f t="shared" si="116"/>
        <v>0</v>
      </c>
      <c r="AE92" s="1019">
        <f t="shared" si="129"/>
        <v>0</v>
      </c>
      <c r="AF92" s="1099"/>
      <c r="AG92" s="1099"/>
      <c r="AH92" s="1099"/>
      <c r="AI92" s="1099">
        <f>SUM(AG92:AH92)</f>
        <v>0</v>
      </c>
      <c r="AJ92" s="1019">
        <f>AG92-AF92</f>
        <v>0</v>
      </c>
      <c r="AK92" s="1099"/>
      <c r="AL92" s="1099"/>
      <c r="AM92" s="1099"/>
      <c r="AN92" s="1099">
        <f t="shared" si="117"/>
        <v>0</v>
      </c>
      <c r="AO92" s="1019">
        <f t="shared" si="130"/>
        <v>0</v>
      </c>
      <c r="AP92" s="1099"/>
      <c r="AQ92" s="1099"/>
      <c r="AR92" s="1099"/>
      <c r="AS92" s="1099">
        <f t="shared" si="118"/>
        <v>0</v>
      </c>
      <c r="AT92" s="1019">
        <f t="shared" si="131"/>
        <v>0</v>
      </c>
      <c r="AU92" s="1099"/>
      <c r="AV92" s="1099"/>
      <c r="AW92" s="1099"/>
      <c r="AX92" s="1099">
        <f t="shared" si="119"/>
        <v>0</v>
      </c>
      <c r="AY92" s="1019">
        <f t="shared" si="132"/>
        <v>0</v>
      </c>
      <c r="AZ92" s="1099"/>
      <c r="BA92" s="1094"/>
      <c r="BB92" s="1099"/>
      <c r="BC92" s="1099">
        <f t="shared" si="120"/>
        <v>0</v>
      </c>
      <c r="BD92" s="1019">
        <f t="shared" si="133"/>
        <v>0</v>
      </c>
      <c r="BE92" s="1099"/>
      <c r="BF92" s="1094"/>
      <c r="BG92" s="1099"/>
      <c r="BH92" s="1099">
        <f t="shared" si="121"/>
        <v>0</v>
      </c>
      <c r="BI92" s="1019">
        <f t="shared" si="134"/>
        <v>0</v>
      </c>
      <c r="BJ92" s="1007">
        <f t="shared" si="135"/>
        <v>0</v>
      </c>
      <c r="BK92" s="1007">
        <f t="shared" si="122"/>
        <v>0</v>
      </c>
      <c r="BL92" s="1007">
        <f t="shared" si="123"/>
        <v>0</v>
      </c>
      <c r="BM92" s="1013">
        <f t="shared" si="136"/>
        <v>0</v>
      </c>
      <c r="BN92" s="1013">
        <f>SUM(BL92+BM92)</f>
        <v>0</v>
      </c>
      <c r="BO92" s="1090">
        <f>BJ92+'4 bba Önkorm '!DM91</f>
        <v>0</v>
      </c>
      <c r="BP92" s="1090">
        <f>BK92+'4 bba Önkorm '!DN91</f>
        <v>0</v>
      </c>
      <c r="BQ92" s="1090">
        <f>BL92+'4 bba Önkorm '!DO91</f>
        <v>0</v>
      </c>
      <c r="BR92" s="1013">
        <f>BM92+'4 bba Önkorm '!DP91</f>
        <v>0</v>
      </c>
      <c r="BS92" s="1013">
        <f>SUM(BQ92:BR92)</f>
        <v>0</v>
      </c>
    </row>
    <row r="93" spans="1:71" ht="15" customHeight="1">
      <c r="A93" s="405" t="s">
        <v>770</v>
      </c>
      <c r="B93" s="321"/>
      <c r="C93" s="1099"/>
      <c r="D93" s="1099"/>
      <c r="E93" s="1099">
        <f t="shared" si="111"/>
        <v>0</v>
      </c>
      <c r="F93" s="1019">
        <f t="shared" si="124"/>
        <v>0</v>
      </c>
      <c r="G93" s="1099"/>
      <c r="H93" s="1099"/>
      <c r="I93" s="1099"/>
      <c r="J93" s="1099">
        <f t="shared" si="112"/>
        <v>0</v>
      </c>
      <c r="K93" s="1019">
        <f t="shared" si="125"/>
        <v>0</v>
      </c>
      <c r="L93" s="1099"/>
      <c r="M93" s="1099"/>
      <c r="N93" s="1099"/>
      <c r="O93" s="1099">
        <f t="shared" si="113"/>
        <v>0</v>
      </c>
      <c r="P93" s="1019">
        <f t="shared" si="126"/>
        <v>0</v>
      </c>
      <c r="Q93" s="1099"/>
      <c r="R93" s="1099"/>
      <c r="S93" s="1099"/>
      <c r="T93" s="1099">
        <f t="shared" si="114"/>
        <v>0</v>
      </c>
      <c r="U93" s="1019">
        <f t="shared" si="127"/>
        <v>0</v>
      </c>
      <c r="V93" s="1099"/>
      <c r="W93" s="1099"/>
      <c r="X93" s="1099"/>
      <c r="Y93" s="1099">
        <f t="shared" si="115"/>
        <v>0</v>
      </c>
      <c r="Z93" s="1019">
        <f t="shared" si="128"/>
        <v>0</v>
      </c>
      <c r="AA93" s="1099"/>
      <c r="AB93" s="1099"/>
      <c r="AC93" s="1099"/>
      <c r="AD93" s="1099">
        <f t="shared" si="116"/>
        <v>0</v>
      </c>
      <c r="AE93" s="1019">
        <f t="shared" si="129"/>
        <v>0</v>
      </c>
      <c r="AF93" s="1099"/>
      <c r="AG93" s="1099"/>
      <c r="AH93" s="1099"/>
      <c r="AI93" s="1099">
        <v>5890000000</v>
      </c>
      <c r="AJ93" s="1019">
        <v>5890000000</v>
      </c>
      <c r="AK93" s="1099"/>
      <c r="AL93" s="1099"/>
      <c r="AM93" s="1099"/>
      <c r="AN93" s="1099">
        <f t="shared" si="117"/>
        <v>0</v>
      </c>
      <c r="AO93" s="1019">
        <f t="shared" si="130"/>
        <v>0</v>
      </c>
      <c r="AP93" s="1099"/>
      <c r="AQ93" s="1099"/>
      <c r="AR93" s="1099"/>
      <c r="AS93" s="1099">
        <f t="shared" si="118"/>
        <v>0</v>
      </c>
      <c r="AT93" s="1019">
        <f t="shared" si="131"/>
        <v>0</v>
      </c>
      <c r="AU93" s="1099"/>
      <c r="AV93" s="1099"/>
      <c r="AW93" s="1099"/>
      <c r="AX93" s="1099">
        <f t="shared" si="119"/>
        <v>0</v>
      </c>
      <c r="AY93" s="1019">
        <f t="shared" si="132"/>
        <v>0</v>
      </c>
      <c r="AZ93" s="1099"/>
      <c r="BA93" s="1094"/>
      <c r="BB93" s="1099"/>
      <c r="BC93" s="1099">
        <f t="shared" si="120"/>
        <v>0</v>
      </c>
      <c r="BD93" s="1019">
        <f t="shared" si="133"/>
        <v>0</v>
      </c>
      <c r="BE93" s="1099"/>
      <c r="BF93" s="1094"/>
      <c r="BG93" s="1099"/>
      <c r="BH93" s="1099">
        <f t="shared" si="121"/>
        <v>0</v>
      </c>
      <c r="BI93" s="1019">
        <f t="shared" si="134"/>
        <v>0</v>
      </c>
      <c r="BJ93" s="1007">
        <f t="shared" si="135"/>
        <v>0</v>
      </c>
      <c r="BK93" s="1007">
        <f t="shared" si="122"/>
        <v>0</v>
      </c>
      <c r="BL93" s="1007">
        <f t="shared" si="123"/>
        <v>0</v>
      </c>
      <c r="BM93" s="1013">
        <f t="shared" si="136"/>
        <v>5890000000</v>
      </c>
      <c r="BN93" s="1013">
        <f t="shared" si="136"/>
        <v>5890000000</v>
      </c>
      <c r="BO93" s="1090">
        <f>BJ93+'4 bba Önkorm '!DM92</f>
        <v>0</v>
      </c>
      <c r="BP93" s="1090">
        <f>BK93+'4 bba Önkorm '!DN92</f>
        <v>0</v>
      </c>
      <c r="BQ93" s="1090">
        <f>BL93+'4 bba Önkorm '!DO92</f>
        <v>0</v>
      </c>
      <c r="BR93" s="1013">
        <f>BM93+'4 bba Önkorm '!DP92</f>
        <v>5890000000</v>
      </c>
      <c r="BS93" s="1013">
        <f>BN93+'4 bba Önkorm '!DQ92</f>
        <v>5890000000</v>
      </c>
    </row>
    <row r="94" spans="1:71" ht="15" customHeight="1">
      <c r="A94" s="405" t="s">
        <v>771</v>
      </c>
      <c r="B94" s="321"/>
      <c r="C94" s="1099"/>
      <c r="D94" s="1099"/>
      <c r="E94" s="1099">
        <f t="shared" si="111"/>
        <v>0</v>
      </c>
      <c r="F94" s="1019">
        <f t="shared" si="124"/>
        <v>0</v>
      </c>
      <c r="G94" s="1099"/>
      <c r="H94" s="1099"/>
      <c r="I94" s="1099"/>
      <c r="J94" s="1099">
        <f t="shared" si="112"/>
        <v>0</v>
      </c>
      <c r="K94" s="1019">
        <f t="shared" si="125"/>
        <v>0</v>
      </c>
      <c r="L94" s="1099"/>
      <c r="M94" s="1099"/>
      <c r="N94" s="1099"/>
      <c r="O94" s="1099">
        <f t="shared" si="113"/>
        <v>0</v>
      </c>
      <c r="P94" s="1019">
        <f t="shared" si="126"/>
        <v>0</v>
      </c>
      <c r="Q94" s="1099"/>
      <c r="R94" s="1099"/>
      <c r="S94" s="1099"/>
      <c r="T94" s="1099">
        <f t="shared" si="114"/>
        <v>0</v>
      </c>
      <c r="U94" s="1019">
        <f t="shared" si="127"/>
        <v>0</v>
      </c>
      <c r="V94" s="1099"/>
      <c r="W94" s="1099"/>
      <c r="X94" s="1099"/>
      <c r="Y94" s="1099">
        <f t="shared" si="115"/>
        <v>0</v>
      </c>
      <c r="Z94" s="1019">
        <f t="shared" si="128"/>
        <v>0</v>
      </c>
      <c r="AA94" s="1099"/>
      <c r="AB94" s="1099"/>
      <c r="AC94" s="1099"/>
      <c r="AD94" s="1099">
        <f t="shared" si="116"/>
        <v>0</v>
      </c>
      <c r="AE94" s="1019">
        <f t="shared" si="129"/>
        <v>0</v>
      </c>
      <c r="AF94" s="1099"/>
      <c r="AG94" s="1099"/>
      <c r="AH94" s="1099"/>
      <c r="AI94" s="1099">
        <v>0</v>
      </c>
      <c r="AJ94" s="1019">
        <f>AG94-AF94</f>
        <v>0</v>
      </c>
      <c r="AK94" s="1099"/>
      <c r="AL94" s="1099"/>
      <c r="AM94" s="1099"/>
      <c r="AN94" s="1099">
        <f t="shared" si="117"/>
        <v>0</v>
      </c>
      <c r="AO94" s="1019">
        <f t="shared" si="130"/>
        <v>0</v>
      </c>
      <c r="AP94" s="1099"/>
      <c r="AQ94" s="1099"/>
      <c r="AR94" s="1099"/>
      <c r="AS94" s="1099">
        <f t="shared" si="118"/>
        <v>0</v>
      </c>
      <c r="AT94" s="1019">
        <f t="shared" si="131"/>
        <v>0</v>
      </c>
      <c r="AU94" s="1099"/>
      <c r="AV94" s="1099"/>
      <c r="AW94" s="1099"/>
      <c r="AX94" s="1099">
        <f t="shared" si="119"/>
        <v>0</v>
      </c>
      <c r="AY94" s="1019">
        <f t="shared" si="132"/>
        <v>0</v>
      </c>
      <c r="AZ94" s="1099"/>
      <c r="BA94" s="1094"/>
      <c r="BB94" s="1099"/>
      <c r="BC94" s="1099">
        <f t="shared" si="120"/>
        <v>0</v>
      </c>
      <c r="BD94" s="1019">
        <f t="shared" si="133"/>
        <v>0</v>
      </c>
      <c r="BE94" s="1099"/>
      <c r="BF94" s="1094"/>
      <c r="BG94" s="1099"/>
      <c r="BH94" s="1099">
        <f t="shared" si="121"/>
        <v>0</v>
      </c>
      <c r="BI94" s="1019">
        <f t="shared" si="134"/>
        <v>0</v>
      </c>
      <c r="BJ94" s="1007">
        <f t="shared" si="135"/>
        <v>0</v>
      </c>
      <c r="BK94" s="1007">
        <f t="shared" si="122"/>
        <v>0</v>
      </c>
      <c r="BL94" s="1007">
        <f t="shared" si="123"/>
        <v>0</v>
      </c>
      <c r="BM94" s="1013">
        <f t="shared" si="136"/>
        <v>0</v>
      </c>
      <c r="BN94" s="1013">
        <f t="shared" si="136"/>
        <v>0</v>
      </c>
      <c r="BO94" s="1090">
        <f>BJ94+'4 bba Önkorm '!DM93</f>
        <v>0</v>
      </c>
      <c r="BP94" s="1090">
        <f>BK94+'4 bba Önkorm '!DN93</f>
        <v>0</v>
      </c>
      <c r="BQ94" s="1090">
        <f>BL94+'4 bba Önkorm '!DO93</f>
        <v>0</v>
      </c>
      <c r="BR94" s="1013">
        <f>BM94+'4 bba Önkorm '!DP93</f>
        <v>0</v>
      </c>
      <c r="BS94" s="1013">
        <f>BN94+'4 bba Önkorm '!DQ93</f>
        <v>0</v>
      </c>
    </row>
    <row r="95" spans="1:71" ht="15" customHeight="1">
      <c r="A95" s="630" t="s">
        <v>772</v>
      </c>
      <c r="C95" s="1099"/>
      <c r="D95" s="1099"/>
      <c r="E95" s="1099">
        <f t="shared" si="111"/>
        <v>0</v>
      </c>
      <c r="F95" s="1019">
        <f t="shared" si="124"/>
        <v>0</v>
      </c>
      <c r="G95" s="1099"/>
      <c r="H95" s="1099"/>
      <c r="I95" s="1099"/>
      <c r="J95" s="1099">
        <f t="shared" si="112"/>
        <v>0</v>
      </c>
      <c r="K95" s="1019">
        <f t="shared" si="125"/>
        <v>0</v>
      </c>
      <c r="L95" s="1099"/>
      <c r="M95" s="1099"/>
      <c r="N95" s="1099"/>
      <c r="O95" s="1099">
        <f t="shared" si="113"/>
        <v>0</v>
      </c>
      <c r="P95" s="1019">
        <f t="shared" si="126"/>
        <v>0</v>
      </c>
      <c r="Q95" s="1099"/>
      <c r="R95" s="1099"/>
      <c r="S95" s="1099"/>
      <c r="T95" s="1099">
        <f t="shared" si="114"/>
        <v>0</v>
      </c>
      <c r="U95" s="1019">
        <f t="shared" si="127"/>
        <v>0</v>
      </c>
      <c r="V95" s="1099"/>
      <c r="W95" s="1099"/>
      <c r="X95" s="1099"/>
      <c r="Y95" s="1099">
        <f t="shared" si="115"/>
        <v>0</v>
      </c>
      <c r="Z95" s="1019">
        <f t="shared" si="128"/>
        <v>0</v>
      </c>
      <c r="AA95" s="1099"/>
      <c r="AB95" s="1099"/>
      <c r="AC95" s="1099"/>
      <c r="AD95" s="1099">
        <f t="shared" si="116"/>
        <v>0</v>
      </c>
      <c r="AE95" s="1019">
        <f t="shared" si="129"/>
        <v>0</v>
      </c>
      <c r="AF95" s="1099"/>
      <c r="AG95" s="1099"/>
      <c r="AH95" s="1099"/>
      <c r="AI95" s="1099">
        <f>SUM(AG95:AH95)</f>
        <v>0</v>
      </c>
      <c r="AJ95" s="1019">
        <f>AG95-AF95</f>
        <v>0</v>
      </c>
      <c r="AK95" s="1099"/>
      <c r="AL95" s="1099"/>
      <c r="AM95" s="1099"/>
      <c r="AN95" s="1099">
        <f t="shared" si="117"/>
        <v>0</v>
      </c>
      <c r="AO95" s="1019">
        <f t="shared" si="130"/>
        <v>0</v>
      </c>
      <c r="AP95" s="1099"/>
      <c r="AQ95" s="1099"/>
      <c r="AR95" s="1099"/>
      <c r="AS95" s="1099">
        <f t="shared" si="118"/>
        <v>0</v>
      </c>
      <c r="AT95" s="1019">
        <f t="shared" si="131"/>
        <v>0</v>
      </c>
      <c r="AU95" s="1099"/>
      <c r="AV95" s="1099"/>
      <c r="AW95" s="1099"/>
      <c r="AX95" s="1099">
        <f t="shared" si="119"/>
        <v>0</v>
      </c>
      <c r="AY95" s="1019">
        <f t="shared" si="132"/>
        <v>0</v>
      </c>
      <c r="AZ95" s="1099"/>
      <c r="BA95" s="1094"/>
      <c r="BB95" s="1099"/>
      <c r="BC95" s="1099">
        <f t="shared" si="120"/>
        <v>0</v>
      </c>
      <c r="BD95" s="1019">
        <f t="shared" si="133"/>
        <v>0</v>
      </c>
      <c r="BE95" s="1099"/>
      <c r="BF95" s="1094"/>
      <c r="BG95" s="1099"/>
      <c r="BH95" s="1099">
        <f t="shared" si="121"/>
        <v>0</v>
      </c>
      <c r="BI95" s="1019">
        <f t="shared" si="134"/>
        <v>0</v>
      </c>
      <c r="BJ95" s="1007">
        <f t="shared" si="135"/>
        <v>0</v>
      </c>
      <c r="BK95" s="1007">
        <f t="shared" si="122"/>
        <v>0</v>
      </c>
      <c r="BL95" s="1007">
        <f t="shared" si="123"/>
        <v>0</v>
      </c>
      <c r="BM95" s="1013">
        <f t="shared" si="136"/>
        <v>0</v>
      </c>
      <c r="BN95" s="1013">
        <f t="shared" si="136"/>
        <v>0</v>
      </c>
      <c r="BO95" s="1090">
        <f>BJ95+'4 bba Önkorm '!DM94</f>
        <v>0</v>
      </c>
      <c r="BP95" s="1090">
        <f>BK95+'4 bba Önkorm '!DN94</f>
        <v>0</v>
      </c>
      <c r="BQ95" s="1090">
        <f>BL95+'4 bba Önkorm '!DO94</f>
        <v>0</v>
      </c>
      <c r="BR95" s="1013">
        <f>BM95+'4 bba Önkorm '!DP94</f>
        <v>0</v>
      </c>
      <c r="BS95" s="1013">
        <f>BN95+'4 bba Önkorm '!DQ94</f>
        <v>0</v>
      </c>
    </row>
    <row r="96" spans="1:71" ht="15" customHeight="1">
      <c r="A96" s="630" t="s">
        <v>773</v>
      </c>
      <c r="C96" s="1099"/>
      <c r="D96" s="1099"/>
      <c r="E96" s="1099">
        <f t="shared" si="111"/>
        <v>0</v>
      </c>
      <c r="F96" s="1019"/>
      <c r="G96" s="1099"/>
      <c r="H96" s="1099"/>
      <c r="I96" s="1099"/>
      <c r="J96" s="1099">
        <f t="shared" si="112"/>
        <v>0</v>
      </c>
      <c r="K96" s="1019"/>
      <c r="L96" s="1099"/>
      <c r="M96" s="1099"/>
      <c r="N96" s="1099"/>
      <c r="O96" s="1099">
        <f t="shared" si="113"/>
        <v>0</v>
      </c>
      <c r="P96" s="1019"/>
      <c r="Q96" s="1099"/>
      <c r="R96" s="1099"/>
      <c r="S96" s="1099"/>
      <c r="T96" s="1099">
        <f t="shared" si="114"/>
        <v>0</v>
      </c>
      <c r="U96" s="1019"/>
      <c r="V96" s="1099"/>
      <c r="W96" s="1099"/>
      <c r="X96" s="1099"/>
      <c r="Y96" s="1099">
        <f t="shared" si="115"/>
        <v>0</v>
      </c>
      <c r="Z96" s="1019"/>
      <c r="AA96" s="1099"/>
      <c r="AB96" s="1099"/>
      <c r="AC96" s="1099"/>
      <c r="AD96" s="1099">
        <f t="shared" si="116"/>
        <v>0</v>
      </c>
      <c r="AE96" s="1019"/>
      <c r="AF96" s="1099">
        <v>1139799000</v>
      </c>
      <c r="AG96" s="1099">
        <v>2059266724</v>
      </c>
      <c r="AH96" s="1099">
        <v>-1083334</v>
      </c>
      <c r="AI96" s="1099">
        <v>2539370190</v>
      </c>
      <c r="AJ96" s="1019">
        <v>2325963808</v>
      </c>
      <c r="AK96" s="1099"/>
      <c r="AL96" s="1099"/>
      <c r="AM96" s="1099"/>
      <c r="AN96" s="1099">
        <f t="shared" si="117"/>
        <v>0</v>
      </c>
      <c r="AO96" s="1019">
        <f t="shared" si="130"/>
        <v>0</v>
      </c>
      <c r="AP96" s="1099"/>
      <c r="AQ96" s="1099"/>
      <c r="AR96" s="1099"/>
      <c r="AS96" s="1099">
        <f t="shared" si="118"/>
        <v>0</v>
      </c>
      <c r="AT96" s="1019">
        <f t="shared" si="131"/>
        <v>0</v>
      </c>
      <c r="AU96" s="1099"/>
      <c r="AV96" s="1099"/>
      <c r="AW96" s="1099"/>
      <c r="AX96" s="1099">
        <f t="shared" si="119"/>
        <v>0</v>
      </c>
      <c r="AY96" s="1019">
        <f t="shared" si="132"/>
        <v>0</v>
      </c>
      <c r="AZ96" s="1099"/>
      <c r="BA96" s="1094"/>
      <c r="BB96" s="1099"/>
      <c r="BC96" s="1099">
        <f t="shared" si="120"/>
        <v>0</v>
      </c>
      <c r="BD96" s="1019">
        <f t="shared" si="133"/>
        <v>0</v>
      </c>
      <c r="BE96" s="1099"/>
      <c r="BF96" s="1094"/>
      <c r="BG96" s="1099"/>
      <c r="BH96" s="1099">
        <f t="shared" si="121"/>
        <v>0</v>
      </c>
      <c r="BI96" s="1019">
        <f t="shared" si="134"/>
        <v>0</v>
      </c>
      <c r="BJ96" s="1007">
        <f t="shared" si="135"/>
        <v>1139799000</v>
      </c>
      <c r="BK96" s="1007">
        <f t="shared" si="122"/>
        <v>2059266724</v>
      </c>
      <c r="BL96" s="1007">
        <f t="shared" si="123"/>
        <v>-1083334</v>
      </c>
      <c r="BM96" s="1013">
        <f t="shared" si="136"/>
        <v>2539370190</v>
      </c>
      <c r="BN96" s="1013">
        <f t="shared" si="136"/>
        <v>2325963808</v>
      </c>
      <c r="BO96" s="1090">
        <f>BJ96+'4 bba Önkorm '!DM95</f>
        <v>1139799000</v>
      </c>
      <c r="BP96" s="1090">
        <f>BK96+'4 bba Önkorm '!DN95</f>
        <v>2059266724</v>
      </c>
      <c r="BQ96" s="1090">
        <f>BL96+'4 bba Önkorm '!DO95</f>
        <v>-1083334</v>
      </c>
      <c r="BR96" s="1013">
        <f>BM96+'4 bba Önkorm '!DP95</f>
        <v>2539370190</v>
      </c>
      <c r="BS96" s="1013">
        <f>BN96+'4 bba Önkorm '!DQ95</f>
        <v>2325963808</v>
      </c>
    </row>
    <row r="97" spans="1:72" ht="15" customHeight="1">
      <c r="A97" s="630" t="s">
        <v>774</v>
      </c>
      <c r="C97" s="1099"/>
      <c r="D97" s="1099"/>
      <c r="E97" s="1099">
        <f t="shared" si="111"/>
        <v>0</v>
      </c>
      <c r="F97" s="1019"/>
      <c r="G97" s="1099"/>
      <c r="H97" s="1099"/>
      <c r="I97" s="1099"/>
      <c r="J97" s="1099">
        <f t="shared" si="112"/>
        <v>0</v>
      </c>
      <c r="K97" s="1019"/>
      <c r="L97" s="1099"/>
      <c r="M97" s="1099"/>
      <c r="N97" s="1099"/>
      <c r="O97" s="1099">
        <f t="shared" si="113"/>
        <v>0</v>
      </c>
      <c r="P97" s="1019"/>
      <c r="Q97" s="1099"/>
      <c r="R97" s="1099"/>
      <c r="S97" s="1099"/>
      <c r="T97" s="1099">
        <f t="shared" si="114"/>
        <v>0</v>
      </c>
      <c r="U97" s="1019"/>
      <c r="V97" s="1099"/>
      <c r="W97" s="1099"/>
      <c r="X97" s="1099"/>
      <c r="Y97" s="1099">
        <f t="shared" si="115"/>
        <v>0</v>
      </c>
      <c r="Z97" s="1019"/>
      <c r="AA97" s="1099"/>
      <c r="AB97" s="1099"/>
      <c r="AC97" s="1099"/>
      <c r="AD97" s="1099">
        <f t="shared" si="116"/>
        <v>0</v>
      </c>
      <c r="AE97" s="1019"/>
      <c r="AF97" s="1099">
        <v>1260792000</v>
      </c>
      <c r="AG97" s="1099">
        <v>1610394192</v>
      </c>
      <c r="AH97" s="1099"/>
      <c r="AI97" s="1099">
        <v>1396987821</v>
      </c>
      <c r="AJ97" s="1019">
        <v>1610394192</v>
      </c>
      <c r="AK97" s="1099"/>
      <c r="AL97" s="1099"/>
      <c r="AM97" s="1099"/>
      <c r="AN97" s="1099">
        <f t="shared" si="117"/>
        <v>0</v>
      </c>
      <c r="AO97" s="1019">
        <f t="shared" si="130"/>
        <v>0</v>
      </c>
      <c r="AP97" s="1099"/>
      <c r="AQ97" s="1099"/>
      <c r="AR97" s="1099"/>
      <c r="AS97" s="1099">
        <f t="shared" si="118"/>
        <v>0</v>
      </c>
      <c r="AT97" s="1019">
        <f t="shared" si="131"/>
        <v>0</v>
      </c>
      <c r="AU97" s="1099"/>
      <c r="AV97" s="1099"/>
      <c r="AW97" s="1099"/>
      <c r="AX97" s="1099">
        <f t="shared" si="119"/>
        <v>0</v>
      </c>
      <c r="AY97" s="1019">
        <f t="shared" si="132"/>
        <v>0</v>
      </c>
      <c r="AZ97" s="1099"/>
      <c r="BA97" s="1094"/>
      <c r="BB97" s="1099"/>
      <c r="BC97" s="1099">
        <f t="shared" si="120"/>
        <v>0</v>
      </c>
      <c r="BD97" s="1019">
        <f t="shared" si="133"/>
        <v>0</v>
      </c>
      <c r="BE97" s="1099"/>
      <c r="BF97" s="1094"/>
      <c r="BG97" s="1099"/>
      <c r="BH97" s="1099">
        <f t="shared" si="121"/>
        <v>0</v>
      </c>
      <c r="BI97" s="1019">
        <f t="shared" si="134"/>
        <v>0</v>
      </c>
      <c r="BJ97" s="1007">
        <f t="shared" si="135"/>
        <v>1260792000</v>
      </c>
      <c r="BK97" s="1007">
        <f t="shared" si="122"/>
        <v>1610394192</v>
      </c>
      <c r="BL97" s="1007">
        <f t="shared" si="123"/>
        <v>0</v>
      </c>
      <c r="BM97" s="1013">
        <f t="shared" si="136"/>
        <v>1396987821</v>
      </c>
      <c r="BN97" s="1013">
        <f t="shared" si="136"/>
        <v>1610394192</v>
      </c>
      <c r="BO97" s="1090">
        <f>BJ97+'4 bba Önkorm '!DM96</f>
        <v>1260792000</v>
      </c>
      <c r="BP97" s="1090">
        <f>BK97+'4 bba Önkorm '!DN96</f>
        <v>1610394192</v>
      </c>
      <c r="BQ97" s="1090">
        <f>BL97+'4 bba Önkorm '!DO96</f>
        <v>0</v>
      </c>
      <c r="BR97" s="1013">
        <f>BM97+'4 bba Önkorm '!DP96</f>
        <v>1396987821</v>
      </c>
      <c r="BS97" s="1013">
        <f>BN97+'4 bba Önkorm '!DQ96</f>
        <v>1610394192</v>
      </c>
    </row>
    <row r="98" spans="1:72" ht="15" customHeight="1">
      <c r="A98" s="405" t="s">
        <v>775</v>
      </c>
      <c r="B98" s="321"/>
      <c r="C98" s="1099"/>
      <c r="D98" s="1099"/>
      <c r="E98" s="1099">
        <f t="shared" si="111"/>
        <v>0</v>
      </c>
      <c r="F98" s="1099"/>
      <c r="G98" s="1099"/>
      <c r="H98" s="1099"/>
      <c r="I98" s="1099"/>
      <c r="J98" s="1099">
        <f t="shared" si="112"/>
        <v>0</v>
      </c>
      <c r="K98" s="1099"/>
      <c r="L98" s="1099"/>
      <c r="M98" s="1099"/>
      <c r="N98" s="1099"/>
      <c r="O98" s="1099">
        <f t="shared" si="113"/>
        <v>0</v>
      </c>
      <c r="P98" s="1099"/>
      <c r="Q98" s="1099"/>
      <c r="R98" s="1099"/>
      <c r="S98" s="1099"/>
      <c r="T98" s="1099">
        <f t="shared" si="114"/>
        <v>0</v>
      </c>
      <c r="U98" s="1099"/>
      <c r="V98" s="1099"/>
      <c r="W98" s="1099"/>
      <c r="X98" s="1099"/>
      <c r="Y98" s="1099">
        <f t="shared" si="115"/>
        <v>0</v>
      </c>
      <c r="Z98" s="1099"/>
      <c r="AA98" s="1099"/>
      <c r="AB98" s="1099"/>
      <c r="AC98" s="1099"/>
      <c r="AD98" s="1099">
        <f t="shared" si="116"/>
        <v>0</v>
      </c>
      <c r="AE98" s="1099"/>
      <c r="AF98" s="1099"/>
      <c r="AG98" s="1099"/>
      <c r="AH98" s="1099"/>
      <c r="AI98" s="1099">
        <v>45682781</v>
      </c>
      <c r="AJ98" s="1099">
        <v>45682781</v>
      </c>
      <c r="AK98" s="1099"/>
      <c r="AL98" s="1099"/>
      <c r="AM98" s="1099"/>
      <c r="AN98" s="1099">
        <f t="shared" si="117"/>
        <v>0</v>
      </c>
      <c r="AO98" s="1099"/>
      <c r="AP98" s="1099"/>
      <c r="AQ98" s="1099"/>
      <c r="AR98" s="1099"/>
      <c r="AS98" s="1099">
        <f t="shared" si="118"/>
        <v>0</v>
      </c>
      <c r="AT98" s="1099"/>
      <c r="AU98" s="1099"/>
      <c r="AV98" s="1099"/>
      <c r="AW98" s="1099"/>
      <c r="AX98" s="1099">
        <f t="shared" si="119"/>
        <v>0</v>
      </c>
      <c r="AY98" s="1099"/>
      <c r="AZ98" s="1099"/>
      <c r="BA98" s="1094"/>
      <c r="BB98" s="1094"/>
      <c r="BC98" s="1099">
        <f t="shared" si="120"/>
        <v>0</v>
      </c>
      <c r="BD98" s="1099"/>
      <c r="BE98" s="1099"/>
      <c r="BF98" s="1094"/>
      <c r="BG98" s="1094"/>
      <c r="BH98" s="1099">
        <f t="shared" si="121"/>
        <v>0</v>
      </c>
      <c r="BI98" s="1099"/>
      <c r="BJ98" s="1013"/>
      <c r="BK98" s="1007">
        <f t="shared" si="122"/>
        <v>0</v>
      </c>
      <c r="BL98" s="1007">
        <f t="shared" si="123"/>
        <v>0</v>
      </c>
      <c r="BM98" s="1013">
        <f t="shared" si="136"/>
        <v>45682781</v>
      </c>
      <c r="BN98" s="1013">
        <f t="shared" si="136"/>
        <v>45682781</v>
      </c>
      <c r="BO98" s="1013"/>
      <c r="BP98" s="1090">
        <f t="shared" ref="BP98:BQ103" si="137">M98+BF98</f>
        <v>0</v>
      </c>
      <c r="BQ98" s="1090">
        <f t="shared" si="137"/>
        <v>0</v>
      </c>
      <c r="BR98" s="1013">
        <f>BM98+'4 bba Önkorm '!DP97</f>
        <v>45682781</v>
      </c>
      <c r="BS98" s="1013">
        <f>BN98+'4 bba Önkorm '!DQ97</f>
        <v>45682781</v>
      </c>
    </row>
    <row r="99" spans="1:72" ht="15" customHeight="1">
      <c r="A99" s="405" t="s">
        <v>776</v>
      </c>
      <c r="B99" s="321"/>
      <c r="C99" s="1099"/>
      <c r="D99" s="1099"/>
      <c r="E99" s="1099">
        <f t="shared" si="111"/>
        <v>0</v>
      </c>
      <c r="F99" s="1099"/>
      <c r="G99" s="1099"/>
      <c r="H99" s="1099"/>
      <c r="I99" s="1099"/>
      <c r="J99" s="1099">
        <f t="shared" si="112"/>
        <v>0</v>
      </c>
      <c r="K99" s="1099"/>
      <c r="L99" s="1099"/>
      <c r="M99" s="1099"/>
      <c r="N99" s="1099"/>
      <c r="O99" s="1099">
        <f t="shared" si="113"/>
        <v>0</v>
      </c>
      <c r="P99" s="1099"/>
      <c r="Q99" s="1099"/>
      <c r="R99" s="1099"/>
      <c r="S99" s="1099"/>
      <c r="T99" s="1099">
        <f t="shared" si="114"/>
        <v>0</v>
      </c>
      <c r="U99" s="1099"/>
      <c r="V99" s="1099"/>
      <c r="W99" s="1099"/>
      <c r="X99" s="1099"/>
      <c r="Y99" s="1099">
        <f t="shared" si="115"/>
        <v>0</v>
      </c>
      <c r="Z99" s="1099"/>
      <c r="AA99" s="1099"/>
      <c r="AB99" s="1099"/>
      <c r="AC99" s="1099"/>
      <c r="AD99" s="1099">
        <f t="shared" si="116"/>
        <v>0</v>
      </c>
      <c r="AE99" s="1099"/>
      <c r="AF99" s="1099"/>
      <c r="AG99" s="1099"/>
      <c r="AH99" s="1099"/>
      <c r="AI99" s="1099">
        <f>SUM(AG99:AH99)</f>
        <v>0</v>
      </c>
      <c r="AJ99" s="1099"/>
      <c r="AK99" s="1099"/>
      <c r="AL99" s="1099"/>
      <c r="AM99" s="1099"/>
      <c r="AN99" s="1099">
        <f t="shared" si="117"/>
        <v>0</v>
      </c>
      <c r="AO99" s="1099"/>
      <c r="AP99" s="1099"/>
      <c r="AQ99" s="1099"/>
      <c r="AR99" s="1099"/>
      <c r="AS99" s="1099">
        <f t="shared" si="118"/>
        <v>0</v>
      </c>
      <c r="AT99" s="1099"/>
      <c r="AU99" s="1099"/>
      <c r="AV99" s="1099"/>
      <c r="AW99" s="1099"/>
      <c r="AX99" s="1099">
        <f t="shared" si="119"/>
        <v>0</v>
      </c>
      <c r="AY99" s="1099"/>
      <c r="AZ99" s="1099"/>
      <c r="BA99" s="1094"/>
      <c r="BB99" s="1094"/>
      <c r="BC99" s="1099">
        <f t="shared" si="120"/>
        <v>0</v>
      </c>
      <c r="BD99" s="1099"/>
      <c r="BE99" s="1099"/>
      <c r="BF99" s="1094"/>
      <c r="BG99" s="1094"/>
      <c r="BH99" s="1099">
        <f t="shared" si="121"/>
        <v>0</v>
      </c>
      <c r="BI99" s="1099"/>
      <c r="BJ99" s="1013"/>
      <c r="BK99" s="1007">
        <f t="shared" si="122"/>
        <v>0</v>
      </c>
      <c r="BL99" s="1007">
        <f t="shared" si="123"/>
        <v>0</v>
      </c>
      <c r="BM99" s="1013">
        <f t="shared" si="136"/>
        <v>0</v>
      </c>
      <c r="BN99" s="1013">
        <f t="shared" si="136"/>
        <v>0</v>
      </c>
      <c r="BO99" s="1013"/>
      <c r="BP99" s="1090">
        <f t="shared" si="137"/>
        <v>0</v>
      </c>
      <c r="BQ99" s="1090">
        <f t="shared" si="137"/>
        <v>0</v>
      </c>
      <c r="BR99" s="1013">
        <f>BM99+'4 bba Önkorm '!DP98</f>
        <v>0</v>
      </c>
      <c r="BS99" s="1013">
        <f>BN99+'4 bba Önkorm '!DQ98</f>
        <v>0</v>
      </c>
    </row>
    <row r="100" spans="1:72" ht="15" customHeight="1">
      <c r="A100" s="442" t="s">
        <v>777</v>
      </c>
      <c r="B100" s="404"/>
      <c r="C100" s="1099"/>
      <c r="D100" s="1099"/>
      <c r="E100" s="1099">
        <f t="shared" si="111"/>
        <v>0</v>
      </c>
      <c r="F100" s="1099"/>
      <c r="G100" s="1099"/>
      <c r="H100" s="1099"/>
      <c r="I100" s="1099"/>
      <c r="J100" s="1099">
        <f t="shared" si="112"/>
        <v>0</v>
      </c>
      <c r="K100" s="1099"/>
      <c r="L100" s="1099"/>
      <c r="M100" s="1099"/>
      <c r="N100" s="1099"/>
      <c r="O100" s="1099">
        <f t="shared" si="113"/>
        <v>0</v>
      </c>
      <c r="P100" s="1099"/>
      <c r="Q100" s="1099"/>
      <c r="R100" s="1099"/>
      <c r="S100" s="1099"/>
      <c r="T100" s="1099">
        <f t="shared" si="114"/>
        <v>0</v>
      </c>
      <c r="U100" s="1099"/>
      <c r="V100" s="1099"/>
      <c r="W100" s="1099"/>
      <c r="X100" s="1099"/>
      <c r="Y100" s="1099">
        <f t="shared" si="115"/>
        <v>0</v>
      </c>
      <c r="Z100" s="1099"/>
      <c r="AA100" s="1099"/>
      <c r="AB100" s="1099"/>
      <c r="AC100" s="1099"/>
      <c r="AD100" s="1099">
        <f t="shared" si="116"/>
        <v>0</v>
      </c>
      <c r="AE100" s="1099"/>
      <c r="AF100" s="1099"/>
      <c r="AG100" s="1099"/>
      <c r="AH100" s="1099"/>
      <c r="AI100" s="1099">
        <f>SUM(AG100:AH100)</f>
        <v>0</v>
      </c>
      <c r="AJ100" s="1099"/>
      <c r="AK100" s="1099"/>
      <c r="AL100" s="1099"/>
      <c r="AM100" s="1099"/>
      <c r="AN100" s="1099">
        <f t="shared" si="117"/>
        <v>0</v>
      </c>
      <c r="AO100" s="1099"/>
      <c r="AP100" s="1099"/>
      <c r="AQ100" s="1099"/>
      <c r="AR100" s="1099"/>
      <c r="AS100" s="1099">
        <f t="shared" si="118"/>
        <v>0</v>
      </c>
      <c r="AT100" s="1099"/>
      <c r="AU100" s="1099"/>
      <c r="AV100" s="1099"/>
      <c r="AW100" s="1099"/>
      <c r="AX100" s="1099">
        <f t="shared" si="119"/>
        <v>0</v>
      </c>
      <c r="AY100" s="1099"/>
      <c r="AZ100" s="1099"/>
      <c r="BA100" s="1094"/>
      <c r="BB100" s="1094"/>
      <c r="BC100" s="1099">
        <f t="shared" si="120"/>
        <v>0</v>
      </c>
      <c r="BD100" s="1099"/>
      <c r="BE100" s="1099"/>
      <c r="BF100" s="1094"/>
      <c r="BG100" s="1094"/>
      <c r="BH100" s="1099">
        <f t="shared" si="121"/>
        <v>0</v>
      </c>
      <c r="BI100" s="1099"/>
      <c r="BJ100" s="1013"/>
      <c r="BK100" s="1007">
        <f t="shared" si="122"/>
        <v>0</v>
      </c>
      <c r="BL100" s="1007">
        <f t="shared" si="123"/>
        <v>0</v>
      </c>
      <c r="BM100" s="1013">
        <f t="shared" si="136"/>
        <v>0</v>
      </c>
      <c r="BN100" s="1013">
        <f t="shared" si="136"/>
        <v>0</v>
      </c>
      <c r="BO100" s="1013"/>
      <c r="BP100" s="1090">
        <f t="shared" si="137"/>
        <v>0</v>
      </c>
      <c r="BQ100" s="1090">
        <f t="shared" si="137"/>
        <v>0</v>
      </c>
      <c r="BR100" s="1013">
        <f>BM100+'4 bba Önkorm '!DP99</f>
        <v>0</v>
      </c>
      <c r="BS100" s="1013">
        <f>BN100+'4 bba Önkorm '!DQ99</f>
        <v>0</v>
      </c>
    </row>
    <row r="101" spans="1:72" ht="15" customHeight="1">
      <c r="A101" s="405" t="s">
        <v>778</v>
      </c>
      <c r="B101" s="321"/>
      <c r="C101" s="1099"/>
      <c r="D101" s="1099"/>
      <c r="E101" s="1099">
        <f t="shared" si="111"/>
        <v>0</v>
      </c>
      <c r="F101" s="1099"/>
      <c r="G101" s="1099"/>
      <c r="H101" s="1099"/>
      <c r="I101" s="1099"/>
      <c r="J101" s="1099">
        <f t="shared" si="112"/>
        <v>0</v>
      </c>
      <c r="K101" s="1099"/>
      <c r="L101" s="1099"/>
      <c r="M101" s="1099"/>
      <c r="N101" s="1099"/>
      <c r="O101" s="1099">
        <f t="shared" si="113"/>
        <v>0</v>
      </c>
      <c r="P101" s="1099"/>
      <c r="Q101" s="1099"/>
      <c r="R101" s="1099"/>
      <c r="S101" s="1099"/>
      <c r="T101" s="1099">
        <f t="shared" si="114"/>
        <v>0</v>
      </c>
      <c r="U101" s="1099"/>
      <c r="V101" s="1099"/>
      <c r="W101" s="1099"/>
      <c r="X101" s="1099"/>
      <c r="Y101" s="1099">
        <f t="shared" si="115"/>
        <v>0</v>
      </c>
      <c r="Z101" s="1099"/>
      <c r="AA101" s="1099"/>
      <c r="AB101" s="1099"/>
      <c r="AC101" s="1099"/>
      <c r="AD101" s="1099">
        <f t="shared" si="116"/>
        <v>0</v>
      </c>
      <c r="AE101" s="1099"/>
      <c r="AF101" s="1099"/>
      <c r="AG101" s="1099"/>
      <c r="AH101" s="1099"/>
      <c r="AI101" s="1099">
        <f>SUM(AG101:AH101)</f>
        <v>0</v>
      </c>
      <c r="AJ101" s="1099"/>
      <c r="AK101" s="1099"/>
      <c r="AL101" s="1099"/>
      <c r="AM101" s="1099"/>
      <c r="AN101" s="1099">
        <f t="shared" si="117"/>
        <v>0</v>
      </c>
      <c r="AO101" s="1099"/>
      <c r="AP101" s="1099"/>
      <c r="AQ101" s="1099"/>
      <c r="AR101" s="1099"/>
      <c r="AS101" s="1099">
        <f t="shared" si="118"/>
        <v>0</v>
      </c>
      <c r="AT101" s="1099"/>
      <c r="AU101" s="1099"/>
      <c r="AV101" s="1099"/>
      <c r="AW101" s="1099"/>
      <c r="AX101" s="1099">
        <f t="shared" si="119"/>
        <v>0</v>
      </c>
      <c r="AY101" s="1099"/>
      <c r="AZ101" s="1099"/>
      <c r="BA101" s="1094"/>
      <c r="BB101" s="1094"/>
      <c r="BC101" s="1099">
        <f t="shared" si="120"/>
        <v>0</v>
      </c>
      <c r="BD101" s="1099"/>
      <c r="BE101" s="1099"/>
      <c r="BF101" s="1094"/>
      <c r="BG101" s="1094"/>
      <c r="BH101" s="1099">
        <f t="shared" si="121"/>
        <v>0</v>
      </c>
      <c r="BI101" s="1099"/>
      <c r="BJ101" s="1013"/>
      <c r="BK101" s="1007">
        <f t="shared" si="122"/>
        <v>0</v>
      </c>
      <c r="BL101" s="1007">
        <f t="shared" si="123"/>
        <v>0</v>
      </c>
      <c r="BM101" s="1013">
        <f t="shared" si="136"/>
        <v>0</v>
      </c>
      <c r="BN101" s="1013">
        <f t="shared" si="136"/>
        <v>0</v>
      </c>
      <c r="BO101" s="1013"/>
      <c r="BP101" s="1090">
        <f t="shared" si="137"/>
        <v>0</v>
      </c>
      <c r="BQ101" s="1090">
        <f t="shared" si="137"/>
        <v>0</v>
      </c>
      <c r="BR101" s="1013">
        <f>BM101+'4 bba Önkorm '!DP100</f>
        <v>0</v>
      </c>
      <c r="BS101" s="1013">
        <f>BN101+'4 bba Önkorm '!DQ100</f>
        <v>0</v>
      </c>
    </row>
    <row r="102" spans="1:72" ht="15" customHeight="1">
      <c r="A102" s="405" t="s">
        <v>779</v>
      </c>
      <c r="B102" s="321"/>
      <c r="C102" s="1099"/>
      <c r="D102" s="1099"/>
      <c r="E102" s="1099">
        <f t="shared" si="111"/>
        <v>0</v>
      </c>
      <c r="F102" s="1099"/>
      <c r="G102" s="1099"/>
      <c r="H102" s="1099"/>
      <c r="I102" s="1099"/>
      <c r="J102" s="1099">
        <f t="shared" si="112"/>
        <v>0</v>
      </c>
      <c r="K102" s="1099"/>
      <c r="L102" s="1099"/>
      <c r="M102" s="1099"/>
      <c r="N102" s="1099"/>
      <c r="O102" s="1099">
        <f t="shared" si="113"/>
        <v>0</v>
      </c>
      <c r="P102" s="1099"/>
      <c r="Q102" s="1099"/>
      <c r="R102" s="1099"/>
      <c r="S102" s="1099"/>
      <c r="T102" s="1099">
        <f t="shared" si="114"/>
        <v>0</v>
      </c>
      <c r="U102" s="1099"/>
      <c r="V102" s="1099"/>
      <c r="W102" s="1099"/>
      <c r="X102" s="1099"/>
      <c r="Y102" s="1099">
        <f t="shared" si="115"/>
        <v>0</v>
      </c>
      <c r="Z102" s="1099"/>
      <c r="AA102" s="1099"/>
      <c r="AB102" s="1099"/>
      <c r="AC102" s="1099"/>
      <c r="AD102" s="1099">
        <f t="shared" si="116"/>
        <v>0</v>
      </c>
      <c r="AE102" s="1099"/>
      <c r="AF102" s="1099"/>
      <c r="AG102" s="1099"/>
      <c r="AH102" s="1099"/>
      <c r="AI102" s="1099">
        <f>SUM(AG102:AH102)</f>
        <v>0</v>
      </c>
      <c r="AJ102" s="1099"/>
      <c r="AK102" s="1099"/>
      <c r="AL102" s="1099"/>
      <c r="AM102" s="1099"/>
      <c r="AN102" s="1099">
        <f t="shared" si="117"/>
        <v>0</v>
      </c>
      <c r="AO102" s="1099"/>
      <c r="AP102" s="1099"/>
      <c r="AQ102" s="1099"/>
      <c r="AR102" s="1099"/>
      <c r="AS102" s="1099">
        <f t="shared" si="118"/>
        <v>0</v>
      </c>
      <c r="AT102" s="1099"/>
      <c r="AU102" s="1099"/>
      <c r="AV102" s="1099"/>
      <c r="AW102" s="1099"/>
      <c r="AX102" s="1099">
        <f t="shared" si="119"/>
        <v>0</v>
      </c>
      <c r="AY102" s="1099"/>
      <c r="AZ102" s="1099"/>
      <c r="BA102" s="1094"/>
      <c r="BB102" s="1094"/>
      <c r="BC102" s="1099">
        <f t="shared" si="120"/>
        <v>0</v>
      </c>
      <c r="BD102" s="1099"/>
      <c r="BE102" s="1099"/>
      <c r="BF102" s="1094"/>
      <c r="BG102" s="1094"/>
      <c r="BH102" s="1099">
        <f t="shared" si="121"/>
        <v>0</v>
      </c>
      <c r="BI102" s="1099"/>
      <c r="BJ102" s="1013"/>
      <c r="BK102" s="1007">
        <f t="shared" si="122"/>
        <v>0</v>
      </c>
      <c r="BL102" s="1007">
        <f t="shared" si="123"/>
        <v>0</v>
      </c>
      <c r="BM102" s="1013">
        <f t="shared" si="136"/>
        <v>0</v>
      </c>
      <c r="BN102" s="1013">
        <f t="shared" si="136"/>
        <v>0</v>
      </c>
      <c r="BO102" s="1013"/>
      <c r="BP102" s="1090">
        <f t="shared" si="137"/>
        <v>0</v>
      </c>
      <c r="BQ102" s="1090">
        <f t="shared" si="137"/>
        <v>0</v>
      </c>
      <c r="BR102" s="1013">
        <f>BM102+'4 bba Önkorm '!DP101</f>
        <v>0</v>
      </c>
      <c r="BS102" s="1013">
        <f>BN102+'4 bba Önkorm '!DQ101</f>
        <v>0</v>
      </c>
    </row>
    <row r="103" spans="1:72" ht="15" customHeight="1">
      <c r="A103" s="405" t="s">
        <v>780</v>
      </c>
      <c r="B103" s="321"/>
      <c r="C103" s="1099"/>
      <c r="D103" s="1099"/>
      <c r="E103" s="1099">
        <f t="shared" si="111"/>
        <v>0</v>
      </c>
      <c r="F103" s="1099"/>
      <c r="G103" s="1099"/>
      <c r="H103" s="1099"/>
      <c r="I103" s="1099"/>
      <c r="J103" s="1099">
        <f t="shared" si="112"/>
        <v>0</v>
      </c>
      <c r="K103" s="1099"/>
      <c r="L103" s="1099"/>
      <c r="M103" s="1099"/>
      <c r="N103" s="1099"/>
      <c r="O103" s="1099">
        <f t="shared" si="113"/>
        <v>0</v>
      </c>
      <c r="P103" s="1099"/>
      <c r="Q103" s="1099"/>
      <c r="R103" s="1099"/>
      <c r="S103" s="1099"/>
      <c r="T103" s="1099">
        <f t="shared" si="114"/>
        <v>0</v>
      </c>
      <c r="U103" s="1099"/>
      <c r="V103" s="1099"/>
      <c r="W103" s="1099"/>
      <c r="X103" s="1099"/>
      <c r="Y103" s="1099">
        <f t="shared" si="115"/>
        <v>0</v>
      </c>
      <c r="Z103" s="1099"/>
      <c r="AA103" s="1099"/>
      <c r="AB103" s="1099"/>
      <c r="AC103" s="1099"/>
      <c r="AD103" s="1099">
        <f t="shared" si="116"/>
        <v>0</v>
      </c>
      <c r="AE103" s="1099"/>
      <c r="AF103" s="1099"/>
      <c r="AG103" s="1099"/>
      <c r="AH103" s="1099"/>
      <c r="AJ103" s="1099"/>
      <c r="AK103" s="1099"/>
      <c r="AL103" s="1099"/>
      <c r="AM103" s="1099"/>
      <c r="AN103" s="1099">
        <f t="shared" si="117"/>
        <v>0</v>
      </c>
      <c r="AO103" s="1099"/>
      <c r="AP103" s="1099"/>
      <c r="AQ103" s="1099"/>
      <c r="AR103" s="1099"/>
      <c r="AS103" s="1099">
        <f t="shared" si="118"/>
        <v>0</v>
      </c>
      <c r="AT103" s="1099"/>
      <c r="AU103" s="1099"/>
      <c r="AV103" s="1099"/>
      <c r="AW103" s="1099"/>
      <c r="AX103" s="1099">
        <f t="shared" si="119"/>
        <v>0</v>
      </c>
      <c r="AY103" s="1099"/>
      <c r="AZ103" s="1099"/>
      <c r="BA103" s="1094"/>
      <c r="BB103" s="1094"/>
      <c r="BC103" s="1099">
        <f t="shared" si="120"/>
        <v>0</v>
      </c>
      <c r="BD103" s="1099"/>
      <c r="BE103" s="1099"/>
      <c r="BF103" s="1094"/>
      <c r="BG103" s="1094"/>
      <c r="BH103" s="1099">
        <f t="shared" si="121"/>
        <v>0</v>
      </c>
      <c r="BI103" s="1099"/>
      <c r="BJ103" s="1013"/>
      <c r="BK103" s="1007">
        <f t="shared" si="122"/>
        <v>0</v>
      </c>
      <c r="BL103" s="1007">
        <f t="shared" si="123"/>
        <v>0</v>
      </c>
      <c r="BM103" s="1013">
        <f t="shared" si="136"/>
        <v>0</v>
      </c>
      <c r="BN103" s="1013">
        <f t="shared" si="136"/>
        <v>0</v>
      </c>
      <c r="BO103" s="1013"/>
      <c r="BP103" s="1090">
        <f t="shared" si="137"/>
        <v>0</v>
      </c>
      <c r="BQ103" s="1090">
        <f t="shared" si="137"/>
        <v>0</v>
      </c>
      <c r="BR103" s="1013">
        <f>BM103+'4 bba Önkorm '!DP102</f>
        <v>0</v>
      </c>
      <c r="BS103" s="1013">
        <f>BN103+'4 bba Önkorm '!DQ102</f>
        <v>0</v>
      </c>
    </row>
    <row r="104" spans="1:72" ht="15" customHeight="1">
      <c r="A104" s="1055" t="s">
        <v>781</v>
      </c>
      <c r="B104" s="1023">
        <f t="shared" ref="B104:AH104" si="138">SUM(B88:B103)</f>
        <v>0</v>
      </c>
      <c r="C104" s="1023">
        <f t="shared" si="138"/>
        <v>0</v>
      </c>
      <c r="D104" s="1023">
        <f t="shared" si="138"/>
        <v>0</v>
      </c>
      <c r="E104" s="1023">
        <f t="shared" si="138"/>
        <v>0</v>
      </c>
      <c r="F104" s="1023">
        <f t="shared" si="138"/>
        <v>0</v>
      </c>
      <c r="G104" s="1023">
        <f t="shared" si="138"/>
        <v>0</v>
      </c>
      <c r="H104" s="1023">
        <f t="shared" si="138"/>
        <v>0</v>
      </c>
      <c r="I104" s="1023">
        <f t="shared" si="138"/>
        <v>0</v>
      </c>
      <c r="J104" s="1023">
        <f t="shared" si="138"/>
        <v>0</v>
      </c>
      <c r="K104" s="1023">
        <f t="shared" si="138"/>
        <v>0</v>
      </c>
      <c r="L104" s="1023">
        <f t="shared" si="138"/>
        <v>0</v>
      </c>
      <c r="M104" s="1023">
        <f t="shared" si="138"/>
        <v>0</v>
      </c>
      <c r="N104" s="1023">
        <f t="shared" si="138"/>
        <v>0</v>
      </c>
      <c r="O104" s="1023">
        <f t="shared" si="138"/>
        <v>0</v>
      </c>
      <c r="P104" s="1023">
        <f t="shared" si="138"/>
        <v>0</v>
      </c>
      <c r="Q104" s="1023">
        <f t="shared" si="138"/>
        <v>0</v>
      </c>
      <c r="R104" s="1023">
        <f t="shared" si="138"/>
        <v>0</v>
      </c>
      <c r="S104" s="1023">
        <f t="shared" si="138"/>
        <v>0</v>
      </c>
      <c r="T104" s="1023">
        <f t="shared" si="138"/>
        <v>0</v>
      </c>
      <c r="U104" s="1023">
        <f t="shared" si="138"/>
        <v>0</v>
      </c>
      <c r="V104" s="1023">
        <f t="shared" si="138"/>
        <v>0</v>
      </c>
      <c r="W104" s="1023">
        <f t="shared" si="138"/>
        <v>0</v>
      </c>
      <c r="X104" s="1023">
        <f t="shared" si="138"/>
        <v>0</v>
      </c>
      <c r="Y104" s="1023">
        <f t="shared" si="138"/>
        <v>0</v>
      </c>
      <c r="Z104" s="1023">
        <f t="shared" si="138"/>
        <v>0</v>
      </c>
      <c r="AA104" s="1023">
        <f t="shared" si="138"/>
        <v>0</v>
      </c>
      <c r="AB104" s="1023">
        <f t="shared" si="138"/>
        <v>0</v>
      </c>
      <c r="AC104" s="1023">
        <f t="shared" si="138"/>
        <v>0</v>
      </c>
      <c r="AD104" s="1023">
        <f t="shared" si="138"/>
        <v>0</v>
      </c>
      <c r="AE104" s="1023">
        <f t="shared" si="138"/>
        <v>0</v>
      </c>
      <c r="AF104" s="1023">
        <f t="shared" si="138"/>
        <v>2400591000</v>
      </c>
      <c r="AG104" s="1023">
        <f t="shared" si="138"/>
        <v>3669660916</v>
      </c>
      <c r="AH104" s="1023">
        <f t="shared" si="138"/>
        <v>-1083334</v>
      </c>
      <c r="AI104" s="1023">
        <f>SUM(AI88:AI102)</f>
        <v>9872040792</v>
      </c>
      <c r="AJ104" s="1023">
        <f t="shared" ref="AJ104:BS104" si="139">SUM(AJ88:AJ103)</f>
        <v>9872040781</v>
      </c>
      <c r="AK104" s="1023">
        <f t="shared" si="139"/>
        <v>0</v>
      </c>
      <c r="AL104" s="1023">
        <f t="shared" si="139"/>
        <v>0</v>
      </c>
      <c r="AM104" s="1023">
        <f t="shared" si="139"/>
        <v>0</v>
      </c>
      <c r="AN104" s="1023">
        <f t="shared" si="139"/>
        <v>0</v>
      </c>
      <c r="AO104" s="1023">
        <f t="shared" si="139"/>
        <v>0</v>
      </c>
      <c r="AP104" s="1023">
        <f t="shared" si="139"/>
        <v>0</v>
      </c>
      <c r="AQ104" s="1023">
        <f t="shared" si="139"/>
        <v>0</v>
      </c>
      <c r="AR104" s="1023">
        <f t="shared" si="139"/>
        <v>0</v>
      </c>
      <c r="AS104" s="1023">
        <f t="shared" si="139"/>
        <v>0</v>
      </c>
      <c r="AT104" s="1023">
        <f t="shared" si="139"/>
        <v>0</v>
      </c>
      <c r="AU104" s="1023">
        <f t="shared" si="139"/>
        <v>0</v>
      </c>
      <c r="AV104" s="1023">
        <f t="shared" si="139"/>
        <v>0</v>
      </c>
      <c r="AW104" s="1023">
        <f t="shared" si="139"/>
        <v>0</v>
      </c>
      <c r="AX104" s="1023">
        <f t="shared" si="139"/>
        <v>0</v>
      </c>
      <c r="AY104" s="1023">
        <f t="shared" si="139"/>
        <v>0</v>
      </c>
      <c r="AZ104" s="1023">
        <f t="shared" si="139"/>
        <v>0</v>
      </c>
      <c r="BA104" s="1023">
        <f t="shared" si="139"/>
        <v>0</v>
      </c>
      <c r="BB104" s="1023">
        <f t="shared" si="139"/>
        <v>0</v>
      </c>
      <c r="BC104" s="1023">
        <f t="shared" si="139"/>
        <v>0</v>
      </c>
      <c r="BD104" s="1023">
        <f t="shared" si="139"/>
        <v>0</v>
      </c>
      <c r="BE104" s="1023">
        <f t="shared" si="139"/>
        <v>0</v>
      </c>
      <c r="BF104" s="1023">
        <f t="shared" si="139"/>
        <v>0</v>
      </c>
      <c r="BG104" s="1023">
        <f t="shared" si="139"/>
        <v>0</v>
      </c>
      <c r="BH104" s="1023">
        <f t="shared" si="139"/>
        <v>0</v>
      </c>
      <c r="BI104" s="1023">
        <f t="shared" si="139"/>
        <v>0</v>
      </c>
      <c r="BJ104" s="1023">
        <f t="shared" si="139"/>
        <v>2400591000</v>
      </c>
      <c r="BK104" s="1023">
        <f t="shared" si="139"/>
        <v>3669660916</v>
      </c>
      <c r="BL104" s="1023">
        <f t="shared" si="139"/>
        <v>-1083334</v>
      </c>
      <c r="BM104" s="1023">
        <f t="shared" si="139"/>
        <v>9872040792</v>
      </c>
      <c r="BN104" s="1023">
        <f t="shared" si="139"/>
        <v>9872040781</v>
      </c>
      <c r="BO104" s="1023">
        <f t="shared" si="139"/>
        <v>2400591000</v>
      </c>
      <c r="BP104" s="1023">
        <f t="shared" si="139"/>
        <v>3669660916</v>
      </c>
      <c r="BQ104" s="1023">
        <f t="shared" si="139"/>
        <v>-1083334</v>
      </c>
      <c r="BR104" s="1023">
        <f t="shared" si="139"/>
        <v>9872040792</v>
      </c>
      <c r="BS104" s="1023">
        <f t="shared" si="139"/>
        <v>9872040781</v>
      </c>
    </row>
    <row r="105" spans="1:72" ht="15" customHeight="1">
      <c r="A105" s="1113" t="s">
        <v>782</v>
      </c>
      <c r="B105" s="1030">
        <f t="shared" ref="B105:AG105" si="140">SUM(B87+B104)</f>
        <v>0</v>
      </c>
      <c r="C105" s="1030">
        <f t="shared" si="140"/>
        <v>0</v>
      </c>
      <c r="D105" s="1030">
        <f t="shared" si="140"/>
        <v>0</v>
      </c>
      <c r="E105" s="1030">
        <f t="shared" si="140"/>
        <v>0</v>
      </c>
      <c r="F105" s="1030">
        <f t="shared" si="140"/>
        <v>0</v>
      </c>
      <c r="G105" s="1030">
        <f t="shared" si="140"/>
        <v>0</v>
      </c>
      <c r="H105" s="1030">
        <f t="shared" si="140"/>
        <v>0</v>
      </c>
      <c r="I105" s="1030">
        <f t="shared" si="140"/>
        <v>0</v>
      </c>
      <c r="J105" s="1030">
        <f t="shared" si="140"/>
        <v>0</v>
      </c>
      <c r="K105" s="1030">
        <f t="shared" si="140"/>
        <v>3</v>
      </c>
      <c r="L105" s="1030">
        <f t="shared" si="140"/>
        <v>0</v>
      </c>
      <c r="M105" s="1030">
        <f t="shared" si="140"/>
        <v>0</v>
      </c>
      <c r="N105" s="1030">
        <f t="shared" si="140"/>
        <v>0</v>
      </c>
      <c r="O105" s="1030">
        <f t="shared" si="140"/>
        <v>1000000</v>
      </c>
      <c r="P105" s="1030">
        <f t="shared" si="140"/>
        <v>1000027</v>
      </c>
      <c r="Q105" s="1030">
        <f t="shared" si="140"/>
        <v>809195000</v>
      </c>
      <c r="R105" s="1030">
        <f t="shared" si="140"/>
        <v>809195000</v>
      </c>
      <c r="S105" s="1030">
        <f t="shared" si="140"/>
        <v>-25000</v>
      </c>
      <c r="T105" s="1030">
        <f t="shared" si="140"/>
        <v>827832237</v>
      </c>
      <c r="U105" s="1030">
        <f t="shared" si="140"/>
        <v>807309916</v>
      </c>
      <c r="V105" s="1030">
        <f t="shared" si="140"/>
        <v>25340000</v>
      </c>
      <c r="W105" s="1030">
        <f t="shared" si="140"/>
        <v>25340000</v>
      </c>
      <c r="X105" s="1030">
        <f t="shared" si="140"/>
        <v>0</v>
      </c>
      <c r="Y105" s="1030">
        <f t="shared" si="140"/>
        <v>61053375</v>
      </c>
      <c r="Z105" s="1030">
        <f t="shared" si="140"/>
        <v>52078381</v>
      </c>
      <c r="AA105" s="1030">
        <f t="shared" si="140"/>
        <v>25429000</v>
      </c>
      <c r="AB105" s="1030">
        <f t="shared" si="140"/>
        <v>45429000</v>
      </c>
      <c r="AC105" s="1030">
        <f t="shared" si="140"/>
        <v>0</v>
      </c>
      <c r="AD105" s="1030">
        <f t="shared" si="140"/>
        <v>57955237</v>
      </c>
      <c r="AE105" s="1030">
        <f t="shared" si="140"/>
        <v>37096992</v>
      </c>
      <c r="AF105" s="1030">
        <f t="shared" si="140"/>
        <v>12940354498</v>
      </c>
      <c r="AG105" s="1030">
        <f t="shared" si="140"/>
        <v>14388316315</v>
      </c>
      <c r="AH105" s="1030">
        <f t="shared" ref="AH105:BN105" si="141">SUM(AH87+AH104)</f>
        <v>28692067</v>
      </c>
      <c r="AI105" s="1030">
        <f t="shared" si="141"/>
        <v>20995109784</v>
      </c>
      <c r="AJ105" s="1030">
        <f t="shared" si="141"/>
        <v>20967683334</v>
      </c>
      <c r="AK105" s="1030">
        <f t="shared" si="141"/>
        <v>0</v>
      </c>
      <c r="AL105" s="1030">
        <f t="shared" si="141"/>
        <v>0</v>
      </c>
      <c r="AM105" s="1030">
        <f t="shared" si="141"/>
        <v>0</v>
      </c>
      <c r="AN105" s="1030">
        <f t="shared" si="141"/>
        <v>0</v>
      </c>
      <c r="AO105" s="1030">
        <f t="shared" si="141"/>
        <v>0</v>
      </c>
      <c r="AP105" s="1030">
        <f t="shared" si="141"/>
        <v>0</v>
      </c>
      <c r="AQ105" s="1030">
        <f t="shared" si="141"/>
        <v>0</v>
      </c>
      <c r="AR105" s="1030">
        <f t="shared" si="141"/>
        <v>0</v>
      </c>
      <c r="AS105" s="1030">
        <f t="shared" si="141"/>
        <v>0</v>
      </c>
      <c r="AT105" s="1030">
        <f t="shared" si="141"/>
        <v>0</v>
      </c>
      <c r="AU105" s="1030">
        <f t="shared" si="141"/>
        <v>0</v>
      </c>
      <c r="AV105" s="1030">
        <f t="shared" si="141"/>
        <v>0</v>
      </c>
      <c r="AW105" s="1030">
        <f t="shared" si="141"/>
        <v>0</v>
      </c>
      <c r="AX105" s="1030">
        <f t="shared" si="141"/>
        <v>0</v>
      </c>
      <c r="AY105" s="1030">
        <f t="shared" si="141"/>
        <v>0</v>
      </c>
      <c r="AZ105" s="1030">
        <f t="shared" si="141"/>
        <v>0</v>
      </c>
      <c r="BA105" s="1030">
        <f t="shared" si="141"/>
        <v>0</v>
      </c>
      <c r="BB105" s="1030">
        <f t="shared" si="141"/>
        <v>0</v>
      </c>
      <c r="BC105" s="1030">
        <f t="shared" si="141"/>
        <v>0</v>
      </c>
      <c r="BD105" s="1030">
        <f t="shared" si="141"/>
        <v>0</v>
      </c>
      <c r="BE105" s="1030">
        <f t="shared" si="141"/>
        <v>0</v>
      </c>
      <c r="BF105" s="1030">
        <f t="shared" si="141"/>
        <v>0</v>
      </c>
      <c r="BG105" s="1030">
        <f t="shared" si="141"/>
        <v>0</v>
      </c>
      <c r="BH105" s="1030">
        <f t="shared" si="141"/>
        <v>0</v>
      </c>
      <c r="BI105" s="1030">
        <f t="shared" si="141"/>
        <v>0</v>
      </c>
      <c r="BJ105" s="1030">
        <f t="shared" si="141"/>
        <v>13800318498</v>
      </c>
      <c r="BK105" s="1030">
        <f t="shared" si="141"/>
        <v>15268280315</v>
      </c>
      <c r="BL105" s="1030">
        <f t="shared" si="141"/>
        <v>28667067</v>
      </c>
      <c r="BM105" s="1030">
        <f t="shared" si="141"/>
        <v>21942950633</v>
      </c>
      <c r="BN105" s="1030">
        <f t="shared" si="141"/>
        <v>21865168653</v>
      </c>
      <c r="BO105" s="1029">
        <f>SUM(BO87+BO104)</f>
        <v>14586221498</v>
      </c>
      <c r="BP105" s="1029">
        <f>SUM(BP87+BP104)</f>
        <v>16054183315</v>
      </c>
      <c r="BQ105" s="1029">
        <f>SUM(BQ87+BQ104)</f>
        <v>33255414</v>
      </c>
      <c r="BR105" s="1029">
        <f>SUM(BR87+BR104)</f>
        <v>22747052792</v>
      </c>
      <c r="BS105" s="1029">
        <f>SUM(BS87+BS104)</f>
        <v>22629020311</v>
      </c>
    </row>
    <row r="106" spans="1:72" s="1203" customFormat="1" ht="15" hidden="1" customHeight="1">
      <c r="A106" s="1114" t="s">
        <v>833</v>
      </c>
      <c r="B106" s="1118"/>
      <c r="C106" s="1115"/>
      <c r="D106" s="1115"/>
      <c r="E106" s="1115">
        <f>C106+D106</f>
        <v>0</v>
      </c>
      <c r="F106" s="1019">
        <f>C106-B106</f>
        <v>0</v>
      </c>
      <c r="G106" s="1115"/>
      <c r="H106" s="1115"/>
      <c r="I106" s="1115"/>
      <c r="J106" s="1115">
        <f>H106+I106</f>
        <v>0</v>
      </c>
      <c r="K106" s="1019">
        <f>H106-G106</f>
        <v>0</v>
      </c>
      <c r="L106" s="1115"/>
      <c r="M106" s="1115"/>
      <c r="N106" s="1115"/>
      <c r="O106" s="1115">
        <f>M106+N106</f>
        <v>0</v>
      </c>
      <c r="P106" s="1019">
        <f>M106-L106</f>
        <v>0</v>
      </c>
      <c r="Q106" s="1115"/>
      <c r="R106" s="1115"/>
      <c r="S106" s="1115">
        <v>743400000</v>
      </c>
      <c r="T106" s="1115">
        <f>R106+S106</f>
        <v>743400000</v>
      </c>
      <c r="U106" s="1019">
        <f>R106-Q106</f>
        <v>0</v>
      </c>
      <c r="V106" s="1115"/>
      <c r="W106" s="1115"/>
      <c r="X106" s="1115"/>
      <c r="Y106" s="1115">
        <f>W106+X106</f>
        <v>0</v>
      </c>
      <c r="Z106" s="1019">
        <f>W106-V106</f>
        <v>0</v>
      </c>
      <c r="AA106" s="1115"/>
      <c r="AB106" s="1115"/>
      <c r="AC106" s="1115"/>
      <c r="AD106" s="1115">
        <f>AB106+AC106</f>
        <v>0</v>
      </c>
      <c r="AE106" s="1019">
        <f>AB106-AA106</f>
        <v>0</v>
      </c>
      <c r="AF106" s="1115">
        <v>93383</v>
      </c>
      <c r="AG106" s="1115">
        <v>3910200</v>
      </c>
      <c r="AH106" s="1115">
        <v>-3910200</v>
      </c>
      <c r="AI106" s="1115">
        <f>AG106+AH106</f>
        <v>0</v>
      </c>
      <c r="AJ106" s="1019">
        <f>AG106-AF106</f>
        <v>3816817</v>
      </c>
      <c r="AK106" s="1115"/>
      <c r="AL106" s="1115"/>
      <c r="AM106" s="1115"/>
      <c r="AN106" s="1115">
        <f>AL106+AM106</f>
        <v>0</v>
      </c>
      <c r="AO106" s="1019">
        <f>AL106-AK106</f>
        <v>0</v>
      </c>
      <c r="AP106" s="1115"/>
      <c r="AQ106" s="1115"/>
      <c r="AR106" s="1115"/>
      <c r="AS106" s="1115">
        <f>AQ106+AR106</f>
        <v>0</v>
      </c>
      <c r="AT106" s="1019">
        <f>AQ106-AP106</f>
        <v>0</v>
      </c>
      <c r="AU106" s="1115"/>
      <c r="AV106" s="1115"/>
      <c r="AW106" s="1115"/>
      <c r="AX106" s="1115">
        <f>AV106+AW106</f>
        <v>0</v>
      </c>
      <c r="AY106" s="1019">
        <f>AV106-AU106</f>
        <v>0</v>
      </c>
      <c r="AZ106" s="1115"/>
      <c r="BA106" s="1115"/>
      <c r="BB106" s="1115"/>
      <c r="BC106" s="1115">
        <f>BA106+BB106</f>
        <v>0</v>
      </c>
      <c r="BD106" s="1019">
        <f>BA106-AZ106</f>
        <v>0</v>
      </c>
      <c r="BE106" s="1115"/>
      <c r="BF106" s="1115"/>
      <c r="BG106" s="1115"/>
      <c r="BH106" s="1115">
        <f>BF106+BG106</f>
        <v>0</v>
      </c>
      <c r="BI106" s="1019">
        <f>BF106-BE106</f>
        <v>0</v>
      </c>
      <c r="BJ106" s="1007">
        <f t="shared" ref="BJ106:BL107" si="142">SUM(B106+G106+L106+Q106+V106+AA106+AF106+AK106+AP106+AU106+AZ106+BE106)</f>
        <v>93383</v>
      </c>
      <c r="BK106" s="1202">
        <f t="shared" si="142"/>
        <v>3910200</v>
      </c>
      <c r="BL106" s="1202">
        <f t="shared" si="142"/>
        <v>739489800</v>
      </c>
      <c r="BM106" s="1648">
        <f>SUM(BK106+BL106)</f>
        <v>743400000</v>
      </c>
      <c r="BN106" s="809">
        <f>BK106-BJ106</f>
        <v>3816817</v>
      </c>
      <c r="BO106" s="1090">
        <f>BJ106+'4 bba Önkorm '!DM105</f>
        <v>93383</v>
      </c>
      <c r="BP106" s="1090">
        <f>BK106+'4 bba Önkorm '!DN105</f>
        <v>3910200</v>
      </c>
      <c r="BQ106" s="1090">
        <f>BL106+'4 bba Önkorm '!DO105</f>
        <v>739489800</v>
      </c>
      <c r="BR106" s="1648">
        <f>BM106+'4 bba Önkorm '!DP105</f>
        <v>743400000</v>
      </c>
      <c r="BS106" s="809">
        <f>BN106+'4 bba Önkorm '!DQ105</f>
        <v>3816817</v>
      </c>
      <c r="BT106" s="321">
        <f>BR106-'2 b Állami'!AA41</f>
        <v>0</v>
      </c>
    </row>
    <row r="107" spans="1:72" s="1114" customFormat="1" ht="15" hidden="1" customHeight="1">
      <c r="A107" s="1114" t="s">
        <v>834</v>
      </c>
      <c r="B107" s="1118">
        <f>B61-B105-B106</f>
        <v>67843000</v>
      </c>
      <c r="C107" s="1118">
        <f>C61-C105-C106</f>
        <v>62498100</v>
      </c>
      <c r="D107" s="1118">
        <f>D61-D105-D106</f>
        <v>225005</v>
      </c>
      <c r="E107" s="1118">
        <f>C107+D107</f>
        <v>62723105</v>
      </c>
      <c r="F107" s="1019">
        <f>C107-B107</f>
        <v>-5344900</v>
      </c>
      <c r="G107" s="1118">
        <f>G61-G105-G106</f>
        <v>161037000</v>
      </c>
      <c r="H107" s="1118">
        <f>H61-H105-H106</f>
        <v>198311500</v>
      </c>
      <c r="I107" s="1118">
        <f>I61-I105-I106</f>
        <v>15950000</v>
      </c>
      <c r="J107" s="1118">
        <f>H107+I107</f>
        <v>214261500</v>
      </c>
      <c r="K107" s="1019">
        <f>H107-G107</f>
        <v>37274500</v>
      </c>
      <c r="L107" s="1118">
        <f>L61-L105-L106</f>
        <v>239808000</v>
      </c>
      <c r="M107" s="1118">
        <f>M61-M105-M106</f>
        <v>251114080</v>
      </c>
      <c r="N107" s="1118">
        <f>N61-N105-N106</f>
        <v>-925916</v>
      </c>
      <c r="O107" s="1118">
        <f>M107+N107</f>
        <v>250188164</v>
      </c>
      <c r="P107" s="1019">
        <f>M107-L107</f>
        <v>11306080</v>
      </c>
      <c r="Q107" s="1118">
        <f>Q61-Q105-Q106</f>
        <v>2094639000</v>
      </c>
      <c r="R107" s="1118">
        <f>R61-R105-R106</f>
        <v>2274708469</v>
      </c>
      <c r="S107" s="1118">
        <f>S61-S105-S106</f>
        <v>-699127231</v>
      </c>
      <c r="T107" s="1118">
        <f>R107+S107</f>
        <v>1575581238</v>
      </c>
      <c r="U107" s="1019">
        <f>R107-Q107</f>
        <v>180069469</v>
      </c>
      <c r="V107" s="1118">
        <f>V61-V105-V106</f>
        <v>40562000</v>
      </c>
      <c r="W107" s="1118">
        <f>W61-W105-W106</f>
        <v>53534000</v>
      </c>
      <c r="X107" s="1118">
        <f>X61-X105-X106</f>
        <v>0</v>
      </c>
      <c r="Y107" s="1118">
        <f>W107+X107</f>
        <v>53534000</v>
      </c>
      <c r="Z107" s="1019">
        <f>W107-V107</f>
        <v>12972000</v>
      </c>
      <c r="AA107" s="1118">
        <f>AA61-AA105-AA106</f>
        <v>699269000</v>
      </c>
      <c r="AB107" s="1118">
        <f>AB61-AB105-AB106</f>
        <v>692595801</v>
      </c>
      <c r="AC107" s="1118">
        <f>AC61-AC105-AC106</f>
        <v>-10433319</v>
      </c>
      <c r="AD107" s="1118">
        <f>AB107+AC107</f>
        <v>682162482</v>
      </c>
      <c r="AE107" s="1019">
        <f>AB107-AA107</f>
        <v>-6673199</v>
      </c>
      <c r="AF107" s="1118">
        <f>AF61-AF105-AF106</f>
        <v>-4407870383</v>
      </c>
      <c r="AG107" s="1118">
        <f>-2280862088+22655184</f>
        <v>-2258206904</v>
      </c>
      <c r="AH107" s="1118">
        <f>AH61-AH105-AH106</f>
        <v>-42049314</v>
      </c>
      <c r="AI107" s="1118">
        <f>AG107+AH107</f>
        <v>-2300256218</v>
      </c>
      <c r="AJ107" s="1019">
        <f>AG107-AF107</f>
        <v>2149663479</v>
      </c>
      <c r="AK107" s="1118">
        <f>AK61-AK105-AK106</f>
        <v>0</v>
      </c>
      <c r="AL107" s="1118">
        <f>AL61-AL105-AL106</f>
        <v>0</v>
      </c>
      <c r="AM107" s="1118">
        <f>AM61-AM105-AM106</f>
        <v>0</v>
      </c>
      <c r="AN107" s="1118">
        <f>AL107+AM107</f>
        <v>0</v>
      </c>
      <c r="AO107" s="1019">
        <f>AL107-AK107</f>
        <v>0</v>
      </c>
      <c r="AP107" s="1118">
        <f>AP61-AP105-AP106</f>
        <v>0</v>
      </c>
      <c r="AQ107" s="1118">
        <f>AQ61-AQ105-AQ106</f>
        <v>0</v>
      </c>
      <c r="AR107" s="1118">
        <f>AR61-AR105-AR106</f>
        <v>0</v>
      </c>
      <c r="AS107" s="1118">
        <f>AQ107+AR107</f>
        <v>0</v>
      </c>
      <c r="AT107" s="1019">
        <f>AQ107-AP107</f>
        <v>0</v>
      </c>
      <c r="AU107" s="1118">
        <f>AU61-AU105-AU106</f>
        <v>0</v>
      </c>
      <c r="AV107" s="1118">
        <f>AV61-AV105-AV106</f>
        <v>0</v>
      </c>
      <c r="AW107" s="1118">
        <f>AW61-AW105-AW106</f>
        <v>0</v>
      </c>
      <c r="AX107" s="1118">
        <f>AV107+AW107</f>
        <v>0</v>
      </c>
      <c r="AY107" s="1019">
        <f>AV107-AU107</f>
        <v>0</v>
      </c>
      <c r="AZ107" s="1118">
        <f>AZ61-AZ105-AZ106</f>
        <v>0</v>
      </c>
      <c r="BA107" s="1118">
        <f>BA61-BA105-BA106</f>
        <v>0</v>
      </c>
      <c r="BB107" s="1118">
        <f>BB61-BB105-BB106</f>
        <v>0</v>
      </c>
      <c r="BC107" s="1118">
        <f>BA107+BB107</f>
        <v>0</v>
      </c>
      <c r="BD107" s="1019">
        <f>BA107-AZ107</f>
        <v>0</v>
      </c>
      <c r="BE107" s="1118">
        <f>BE61-BE105-BE106</f>
        <v>0</v>
      </c>
      <c r="BF107" s="1118">
        <f>BF61-BF105-BF106</f>
        <v>0</v>
      </c>
      <c r="BG107" s="1118">
        <f>BG61-BG105-BG106</f>
        <v>0</v>
      </c>
      <c r="BH107" s="1118">
        <f>BF107+BG107</f>
        <v>0</v>
      </c>
      <c r="BI107" s="1019">
        <f>BF107-BE107</f>
        <v>0</v>
      </c>
      <c r="BJ107" s="1007">
        <f t="shared" si="142"/>
        <v>-1104712383</v>
      </c>
      <c r="BK107" s="1202">
        <f t="shared" si="142"/>
        <v>1274555046</v>
      </c>
      <c r="BL107" s="1202">
        <f t="shared" si="142"/>
        <v>-736360775</v>
      </c>
      <c r="BM107" s="1648">
        <f>SUM(BK107+BL107)</f>
        <v>538194271</v>
      </c>
      <c r="BN107" s="809">
        <f>BK107-BJ107</f>
        <v>2379267429</v>
      </c>
      <c r="BO107" s="1090">
        <f>BJ107+'4 bba Önkorm '!DM106</f>
        <v>-93383</v>
      </c>
      <c r="BP107" s="1090">
        <f>BK107+'4 bba Önkorm '!DN106</f>
        <v>2461546184</v>
      </c>
      <c r="BQ107" s="1090">
        <f>BL107+'4 bba Önkorm '!DO106</f>
        <v>-739489800</v>
      </c>
      <c r="BR107" s="1648">
        <f>BM107+'4 bba Önkorm '!DP106</f>
        <v>1722056384</v>
      </c>
      <c r="BS107" s="809">
        <f>BN107+'4 bba Önkorm '!DQ106</f>
        <v>2461639567</v>
      </c>
      <c r="BT107" s="633">
        <f>BR64+BR65+BR78-BR106</f>
        <v>1812051180</v>
      </c>
    </row>
    <row r="108" spans="1:72" ht="15" hidden="1" customHeight="1">
      <c r="BK108" s="809"/>
      <c r="BL108" s="809"/>
      <c r="BR108" s="809">
        <f>SUM(BR61-BR105)</f>
        <v>0</v>
      </c>
    </row>
    <row r="109" spans="1:72" ht="15" hidden="1" customHeight="1">
      <c r="BK109" s="809"/>
      <c r="BL109" s="809"/>
      <c r="BM109" s="961" t="s">
        <v>37</v>
      </c>
      <c r="BR109" s="809">
        <f>BR64+BR65+BR78-BR106-BR107</f>
        <v>89994796</v>
      </c>
    </row>
    <row r="110" spans="1:72" ht="15" customHeight="1">
      <c r="BK110" s="809"/>
      <c r="BL110" s="809"/>
    </row>
    <row r="111" spans="1:72" ht="15" customHeight="1">
      <c r="BK111" s="809"/>
    </row>
    <row r="112" spans="1:7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</sheetData>
  <sheetProtection selectLockedCells="1" selectUnlockedCells="1"/>
  <mergeCells count="40">
    <mergeCell ref="BK3:BM3"/>
    <mergeCell ref="BP3:BR3"/>
    <mergeCell ref="C4:E4"/>
    <mergeCell ref="H4:J4"/>
    <mergeCell ref="M4:O4"/>
    <mergeCell ref="R4:T4"/>
    <mergeCell ref="W4:Y4"/>
    <mergeCell ref="AL4:AN4"/>
    <mergeCell ref="AQ4:AS4"/>
    <mergeCell ref="AV4:AX4"/>
    <mergeCell ref="BA4:BC4"/>
    <mergeCell ref="BF4:BH4"/>
    <mergeCell ref="BK4:BM4"/>
    <mergeCell ref="BP4:BR4"/>
    <mergeCell ref="AZ2:BD2"/>
    <mergeCell ref="BE2:BI2"/>
    <mergeCell ref="BJ2:BN2"/>
    <mergeCell ref="BO2:BS2"/>
    <mergeCell ref="C3:E3"/>
    <mergeCell ref="H3:J3"/>
    <mergeCell ref="M3:O3"/>
    <mergeCell ref="R3:T3"/>
    <mergeCell ref="W3:Y3"/>
    <mergeCell ref="AB3:AD3"/>
    <mergeCell ref="AG3:AI3"/>
    <mergeCell ref="AL3:AN3"/>
    <mergeCell ref="AQ3:AS3"/>
    <mergeCell ref="AV3:AX3"/>
    <mergeCell ref="BA3:BC3"/>
    <mergeCell ref="BF3:BH3"/>
    <mergeCell ref="AA2:AE2"/>
    <mergeCell ref="AF2:AJ2"/>
    <mergeCell ref="AK2:AO2"/>
    <mergeCell ref="AP2:AT2"/>
    <mergeCell ref="AU2:AY2"/>
    <mergeCell ref="B2:F2"/>
    <mergeCell ref="G2:K2"/>
    <mergeCell ref="L2:P2"/>
    <mergeCell ref="Q2:U2"/>
    <mergeCell ref="V2:Z2"/>
  </mergeCells>
  <printOptions horizontalCentered="1"/>
  <pageMargins left="0.23622047244094491" right="0.23622047244094491" top="0.74803149606299213" bottom="0.55118110236220474" header="0.31496062992125984" footer="0.31496062992125984"/>
  <pageSetup paperSize="9" scale="60" firstPageNumber="0" orientation="portrait" horizontalDpi="300" verticalDpi="300" r:id="rId1"/>
  <headerFooter alignWithMargins="0">
    <oddHeader>&amp;C&amp;"Arial CE,Félkövér"
A XV. kerületi  Önkormányzat 2016. évi  előirányzatainak teljesítése (Ft)&amp;R&amp;"Times New Roman,Normál"&amp;8 4.3. m. a 2016. évi költségvetésről szóló 5/2016. (II.29.) ök.rendelet végrehajtásáról szóló 11/2017. (V.3.) ök. rendelethez</oddHeader>
    <oddFooter>&amp;C&amp;8                &amp;P. oldal</oddFooter>
  </headerFooter>
  <colBreaks count="4" manualBreakCount="4">
    <brk id="11" min="1" max="106" man="1"/>
    <brk id="21" min="1" max="106" man="1"/>
    <brk id="31" min="1" max="106" man="1"/>
    <brk id="61" min="1" max="10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CD170"/>
  <sheetViews>
    <sheetView view="pageBreakPreview" zoomScaleNormal="100" zoomScaleSheetLayoutView="100" workbookViewId="0">
      <pane xSplit="1" topLeftCell="B1" activePane="topRight" state="frozen"/>
      <selection pane="topRight" activeCell="Z12" sqref="Z12"/>
    </sheetView>
  </sheetViews>
  <sheetFormatPr defaultRowHeight="15"/>
  <cols>
    <col min="1" max="1" width="49.28515625" style="630" customWidth="1"/>
    <col min="2" max="2" width="15.85546875" style="961" customWidth="1"/>
    <col min="3" max="3" width="15.85546875" style="961" hidden="1" customWidth="1"/>
    <col min="4" max="4" width="15.85546875" style="498" hidden="1" customWidth="1"/>
    <col min="5" max="5" width="15.85546875" style="961" customWidth="1"/>
    <col min="6" max="6" width="15.85546875" style="498" customWidth="1"/>
    <col min="7" max="7" width="18.28515625" style="630" customWidth="1"/>
    <col min="8" max="8" width="0" style="630" hidden="1" customWidth="1"/>
    <col min="9" max="9" width="0" style="297" hidden="1" customWidth="1"/>
    <col min="10" max="10" width="16.140625" style="630" customWidth="1"/>
    <col min="11" max="11" width="16.5703125" style="297" customWidth="1"/>
    <col min="12" max="12" width="15.42578125" style="630" customWidth="1"/>
    <col min="13" max="14" width="0" style="630" hidden="1" customWidth="1"/>
    <col min="15" max="16" width="15.42578125" style="630" customWidth="1"/>
    <col min="17" max="17" width="15.42578125" style="961" customWidth="1"/>
    <col min="18" max="18" width="0" style="961" hidden="1" customWidth="1"/>
    <col min="19" max="19" width="0" style="498" hidden="1" customWidth="1"/>
    <col min="20" max="20" width="15.42578125" style="961" customWidth="1"/>
    <col min="21" max="21" width="15.42578125" style="498" customWidth="1"/>
    <col min="22" max="22" width="15.42578125" style="961" customWidth="1"/>
    <col min="23" max="23" width="0" style="961" hidden="1" customWidth="1"/>
    <col min="24" max="24" width="0" style="498" hidden="1" customWidth="1"/>
    <col min="25" max="25" width="16" style="961" customWidth="1"/>
    <col min="26" max="26" width="17" style="498" customWidth="1"/>
    <col min="27" max="16384" width="9.140625" style="297"/>
  </cols>
  <sheetData>
    <row r="1" spans="1:26" ht="14.25" hidden="1" customHeight="1">
      <c r="A1" s="957" t="s">
        <v>653</v>
      </c>
      <c r="B1" s="1761">
        <v>1</v>
      </c>
      <c r="C1" s="1761"/>
      <c r="D1" s="1761"/>
      <c r="E1" s="1761"/>
      <c r="F1" s="1761"/>
      <c r="G1" s="1762">
        <v>2</v>
      </c>
      <c r="H1" s="1762"/>
      <c r="I1" s="1762"/>
      <c r="J1" s="1762"/>
      <c r="K1" s="1762"/>
      <c r="L1" s="1763">
        <v>3</v>
      </c>
      <c r="M1" s="1763"/>
      <c r="N1" s="1763"/>
      <c r="O1" s="1763"/>
      <c r="P1" s="1763"/>
      <c r="Q1" s="1764">
        <v>4</v>
      </c>
      <c r="R1" s="1764"/>
      <c r="S1" s="1764"/>
      <c r="T1" s="1764"/>
      <c r="U1" s="1764"/>
      <c r="V1" s="1765">
        <v>5</v>
      </c>
      <c r="W1" s="1765"/>
      <c r="X1" s="1765"/>
      <c r="Y1" s="1765"/>
      <c r="Z1" s="1765"/>
    </row>
    <row r="2" spans="1:26" ht="26.25" customHeight="1">
      <c r="A2" s="957" t="s">
        <v>654</v>
      </c>
      <c r="B2" s="1766" t="s">
        <v>904</v>
      </c>
      <c r="C2" s="1766"/>
      <c r="D2" s="1766"/>
      <c r="E2" s="1766"/>
      <c r="F2" s="1766"/>
      <c r="G2" s="1766" t="s">
        <v>905</v>
      </c>
      <c r="H2" s="1766"/>
      <c r="I2" s="1766"/>
      <c r="J2" s="1766"/>
      <c r="K2" s="1766"/>
      <c r="L2" s="1741" t="s">
        <v>906</v>
      </c>
      <c r="M2" s="1741"/>
      <c r="N2" s="1741"/>
      <c r="O2" s="1741"/>
      <c r="P2" s="1741"/>
      <c r="Q2" s="1766" t="s">
        <v>907</v>
      </c>
      <c r="R2" s="1766"/>
      <c r="S2" s="1766"/>
      <c r="T2" s="1766"/>
      <c r="U2" s="1766"/>
      <c r="V2" s="1766" t="s">
        <v>908</v>
      </c>
      <c r="W2" s="1766"/>
      <c r="X2" s="1766"/>
      <c r="Y2" s="1766"/>
      <c r="Z2" s="1766"/>
    </row>
    <row r="3" spans="1:26" s="406" customFormat="1" ht="13.5" customHeight="1">
      <c r="A3" s="962" t="s">
        <v>811</v>
      </c>
      <c r="B3" s="1204"/>
      <c r="C3" s="834"/>
      <c r="D3" s="1205" t="s">
        <v>899</v>
      </c>
      <c r="E3" s="1206"/>
      <c r="F3" s="1207"/>
      <c r="G3" s="1767" t="s">
        <v>909</v>
      </c>
      <c r="H3" s="1767"/>
      <c r="I3" s="1767"/>
      <c r="J3" s="1767"/>
      <c r="K3" s="1767"/>
      <c r="L3" s="1767" t="s">
        <v>909</v>
      </c>
      <c r="M3" s="1767"/>
      <c r="N3" s="1767"/>
      <c r="O3" s="1767"/>
      <c r="P3" s="1767"/>
      <c r="Q3" s="1768" t="s">
        <v>910</v>
      </c>
      <c r="R3" s="1768"/>
      <c r="S3" s="1768"/>
      <c r="T3" s="1768"/>
      <c r="U3" s="1768"/>
      <c r="V3" s="1768" t="s">
        <v>911</v>
      </c>
      <c r="W3" s="1768"/>
      <c r="X3" s="1768"/>
      <c r="Y3" s="1768"/>
      <c r="Z3" s="1768"/>
    </row>
    <row r="4" spans="1:26" ht="34.5" hidden="1" customHeight="1">
      <c r="A4" s="1185" t="s">
        <v>662</v>
      </c>
      <c r="B4" s="1208"/>
      <c r="C4" s="1769"/>
      <c r="D4" s="1769"/>
      <c r="E4" s="1769"/>
      <c r="F4" s="1209"/>
      <c r="G4" s="1187"/>
      <c r="H4" s="1770"/>
      <c r="I4" s="1770"/>
      <c r="J4" s="1770"/>
      <c r="K4" s="970"/>
      <c r="L4" s="1187"/>
      <c r="M4" s="1744"/>
      <c r="N4" s="1744"/>
      <c r="O4" s="1744"/>
      <c r="P4" s="1187"/>
      <c r="Q4" s="1189"/>
      <c r="R4" s="1769"/>
      <c r="S4" s="1769"/>
      <c r="T4" s="1769"/>
      <c r="U4" s="1209"/>
      <c r="V4" s="1189"/>
      <c r="W4" s="1769"/>
      <c r="X4" s="1769"/>
      <c r="Y4" s="1769"/>
      <c r="Z4" s="1209"/>
    </row>
    <row r="5" spans="1:26" ht="28.5" customHeight="1">
      <c r="A5" s="957" t="s">
        <v>665</v>
      </c>
      <c r="B5" s="854" t="s">
        <v>2</v>
      </c>
      <c r="C5" s="854" t="s">
        <v>139</v>
      </c>
      <c r="D5" s="837" t="s">
        <v>4</v>
      </c>
      <c r="E5" s="854" t="s">
        <v>5</v>
      </c>
      <c r="F5" s="837" t="s">
        <v>140</v>
      </c>
      <c r="G5" s="853" t="s">
        <v>2</v>
      </c>
      <c r="H5" s="853" t="s">
        <v>139</v>
      </c>
      <c r="I5" s="833" t="s">
        <v>4</v>
      </c>
      <c r="J5" s="853" t="s">
        <v>5</v>
      </c>
      <c r="K5" s="833" t="s">
        <v>140</v>
      </c>
      <c r="L5" s="853" t="s">
        <v>2</v>
      </c>
      <c r="M5" s="853" t="s">
        <v>139</v>
      </c>
      <c r="N5" s="833" t="s">
        <v>4</v>
      </c>
      <c r="O5" s="853" t="s">
        <v>5</v>
      </c>
      <c r="P5" s="833" t="s">
        <v>140</v>
      </c>
      <c r="Q5" s="854" t="s">
        <v>2</v>
      </c>
      <c r="R5" s="854" t="s">
        <v>139</v>
      </c>
      <c r="S5" s="837" t="s">
        <v>4</v>
      </c>
      <c r="T5" s="854" t="s">
        <v>5</v>
      </c>
      <c r="U5" s="837" t="s">
        <v>140</v>
      </c>
      <c r="V5" s="854" t="s">
        <v>2</v>
      </c>
      <c r="W5" s="854" t="s">
        <v>139</v>
      </c>
      <c r="X5" s="837" t="s">
        <v>4</v>
      </c>
      <c r="Y5" s="854" t="s">
        <v>5</v>
      </c>
      <c r="Z5" s="837" t="s">
        <v>140</v>
      </c>
    </row>
    <row r="6" spans="1:26" s="406" customFormat="1" ht="14.25" customHeight="1">
      <c r="A6" s="1191"/>
      <c r="B6" s="1192" t="s">
        <v>74</v>
      </c>
      <c r="C6" s="1192" t="s">
        <v>75</v>
      </c>
      <c r="D6" s="1210" t="s">
        <v>76</v>
      </c>
      <c r="E6" s="1192">
        <v>2</v>
      </c>
      <c r="F6" s="1210">
        <v>3</v>
      </c>
      <c r="G6" s="1191">
        <v>4</v>
      </c>
      <c r="H6" s="1191" t="s">
        <v>77</v>
      </c>
      <c r="I6" s="1190" t="s">
        <v>78</v>
      </c>
      <c r="J6" s="1191">
        <v>5</v>
      </c>
      <c r="K6" s="1190">
        <v>6</v>
      </c>
      <c r="L6" s="1191">
        <v>7</v>
      </c>
      <c r="M6" s="1191" t="s">
        <v>79</v>
      </c>
      <c r="N6" s="1191" t="s">
        <v>80</v>
      </c>
      <c r="O6" s="1191">
        <v>8</v>
      </c>
      <c r="P6" s="1191">
        <v>9</v>
      </c>
      <c r="Q6" s="1192">
        <v>10</v>
      </c>
      <c r="R6" s="1192" t="s">
        <v>794</v>
      </c>
      <c r="S6" s="1210" t="s">
        <v>795</v>
      </c>
      <c r="T6" s="1192">
        <v>11</v>
      </c>
      <c r="U6" s="1210">
        <v>12</v>
      </c>
      <c r="V6" s="1192">
        <v>13</v>
      </c>
      <c r="W6" s="1192" t="s">
        <v>666</v>
      </c>
      <c r="X6" s="1210" t="s">
        <v>667</v>
      </c>
      <c r="Y6" s="1192">
        <v>14</v>
      </c>
      <c r="Z6" s="1210">
        <v>15</v>
      </c>
    </row>
    <row r="7" spans="1:26" s="630" customFormat="1" ht="34.5" hidden="1" customHeight="1">
      <c r="A7" s="980"/>
      <c r="B7" s="1211"/>
      <c r="C7" s="1082"/>
      <c r="D7" s="1082"/>
      <c r="E7" s="984"/>
      <c r="F7" s="984"/>
      <c r="G7" s="1212"/>
      <c r="H7" s="744"/>
      <c r="I7" s="744"/>
      <c r="J7" s="1213"/>
      <c r="K7" s="1213"/>
      <c r="L7" s="1213"/>
      <c r="M7" s="744"/>
      <c r="N7" s="744"/>
      <c r="O7" s="1213"/>
      <c r="P7" s="1213"/>
      <c r="Q7" s="1007"/>
      <c r="R7" s="1067"/>
      <c r="S7" s="1067"/>
      <c r="T7" s="1007"/>
      <c r="U7" s="1007"/>
      <c r="V7" s="1007"/>
      <c r="W7" s="984"/>
      <c r="X7" s="984"/>
      <c r="Y7" s="984"/>
      <c r="Z7" s="961"/>
    </row>
    <row r="8" spans="1:26" s="1073" customFormat="1" ht="15.75" customHeight="1">
      <c r="A8" s="1068" t="s">
        <v>796</v>
      </c>
      <c r="B8" s="1082">
        <f>'4 bbb Önkorm'!BO8+'4 ba Polg Hiv'!BC8+'4 a Intézmények'!CD8</f>
        <v>1537.69</v>
      </c>
      <c r="C8" s="1082">
        <f>'4 bbb Önkorm'!BP8+'4 ba Polg Hiv'!BD8+'4 a Intézmények'!CE8</f>
        <v>1537.69</v>
      </c>
      <c r="D8" s="1081">
        <f>'4 bbb Önkorm'!BQ8+'4 ba Polg Hiv'!BE8+'4 a Intézmények'!CF8</f>
        <v>0</v>
      </c>
      <c r="E8" s="984">
        <f>'4 bbb Önkorm'!BR8+'4 ba Polg Hiv'!BF8+'4 a Intézmények'!CG8</f>
        <v>1537.69</v>
      </c>
      <c r="F8" s="993">
        <f>'4 bbb Önkorm'!BS8+'4 ba Polg Hiv'!BG8+'4 a Intézmények'!CH8</f>
        <v>1528.69</v>
      </c>
      <c r="G8" s="1212"/>
      <c r="H8" s="1076"/>
      <c r="I8" s="1071"/>
      <c r="J8" s="1212">
        <f>SUM(H8+I8)</f>
        <v>0</v>
      </c>
      <c r="K8" s="1214"/>
      <c r="L8" s="1212"/>
      <c r="M8" s="1076"/>
      <c r="N8" s="1071"/>
      <c r="O8" s="1212">
        <f>SUM(M8+N8)</f>
        <v>0</v>
      </c>
      <c r="P8" s="1212"/>
      <c r="Q8" s="1215">
        <f t="shared" ref="Q8:S11" si="0">G8+L8</f>
        <v>0</v>
      </c>
      <c r="R8" s="1215">
        <f t="shared" si="0"/>
        <v>0</v>
      </c>
      <c r="S8" s="1216">
        <f t="shared" si="0"/>
        <v>0</v>
      </c>
      <c r="T8" s="984">
        <f>SUM(R8+S8)</f>
        <v>0</v>
      </c>
      <c r="U8" s="993"/>
      <c r="V8" s="984">
        <f t="shared" ref="V8:X11" si="1">B8+Q8</f>
        <v>1537.69</v>
      </c>
      <c r="W8" s="984">
        <f t="shared" si="1"/>
        <v>1537.69</v>
      </c>
      <c r="X8" s="994">
        <f t="shared" si="1"/>
        <v>0</v>
      </c>
      <c r="Y8" s="984">
        <f>SUM(W8+X8)</f>
        <v>1537.69</v>
      </c>
      <c r="Z8" s="993">
        <f>F8+U8</f>
        <v>1528.69</v>
      </c>
    </row>
    <row r="9" spans="1:26" s="1073" customFormat="1" ht="12.75" customHeight="1">
      <c r="A9" s="987" t="s">
        <v>828</v>
      </c>
      <c r="B9" s="1082">
        <f>'4 bbb Önkorm'!BO9+'4 ba Polg Hiv'!BC9+'4 a Intézmények'!CD9</f>
        <v>221</v>
      </c>
      <c r="C9" s="1082">
        <f>'4 bbb Önkorm'!BP9+'4 ba Polg Hiv'!BD9+'4 a Intézmények'!CE9</f>
        <v>1552.69</v>
      </c>
      <c r="D9" s="1081">
        <f>'4 bbb Önkorm'!BQ9+'4 ba Polg Hiv'!BE9+'4 a Intézmények'!CF9</f>
        <v>0</v>
      </c>
      <c r="E9" s="984">
        <f>'4 bbb Önkorm'!BR9+'4 ba Polg Hiv'!BF9+'4 a Intézmények'!CG9</f>
        <v>1552.69</v>
      </c>
      <c r="F9" s="993">
        <f>'4 bbb Önkorm'!BS9+'4 ba Polg Hiv'!BG9+'4 a Intézmények'!CH9</f>
        <v>1535.69</v>
      </c>
      <c r="G9" s="1212"/>
      <c r="H9" s="1076"/>
      <c r="I9" s="1071"/>
      <c r="J9" s="1212">
        <f>SUM(H9+I9)</f>
        <v>0</v>
      </c>
      <c r="K9" s="1214"/>
      <c r="L9" s="1212"/>
      <c r="M9" s="1076"/>
      <c r="N9" s="1071"/>
      <c r="O9" s="1212">
        <f>SUM(M9+N9)</f>
        <v>0</v>
      </c>
      <c r="P9" s="1212"/>
      <c r="Q9" s="1215">
        <f t="shared" si="0"/>
        <v>0</v>
      </c>
      <c r="R9" s="1215">
        <f t="shared" si="0"/>
        <v>0</v>
      </c>
      <c r="S9" s="1216">
        <f t="shared" si="0"/>
        <v>0</v>
      </c>
      <c r="T9" s="984">
        <f>SUM(R9+S9)</f>
        <v>0</v>
      </c>
      <c r="U9" s="993"/>
      <c r="V9" s="984">
        <f t="shared" si="1"/>
        <v>221</v>
      </c>
      <c r="W9" s="984">
        <f t="shared" si="1"/>
        <v>1552.69</v>
      </c>
      <c r="X9" s="994">
        <f t="shared" si="1"/>
        <v>0</v>
      </c>
      <c r="Y9" s="984">
        <f>SUM(W9+X9)</f>
        <v>1552.69</v>
      </c>
      <c r="Z9" s="993">
        <f>F9+U9</f>
        <v>1535.69</v>
      </c>
    </row>
    <row r="10" spans="1:26" s="1073" customFormat="1" ht="11.25" customHeight="1">
      <c r="A10" s="987" t="s">
        <v>798</v>
      </c>
      <c r="B10" s="1082">
        <f>'4 bbb Önkorm'!BO10+'4 ba Polg Hiv'!BC10+'4 a Intézmények'!CD10</f>
        <v>0</v>
      </c>
      <c r="C10" s="1082">
        <f>'4 bbb Önkorm'!BP10+'4 ba Polg Hiv'!BD10+'4 a Intézmények'!CE10</f>
        <v>1526.69</v>
      </c>
      <c r="D10" s="1081">
        <f>'4 bbb Önkorm'!BQ10+'4 ba Polg Hiv'!BE10+'4 a Intézmények'!CF10</f>
        <v>-1</v>
      </c>
      <c r="E10" s="984">
        <f>'4 bbb Önkorm'!BR10+'4 ba Polg Hiv'!BF10+'4 a Intézmények'!CG10</f>
        <v>1525.69</v>
      </c>
      <c r="F10" s="993">
        <f>'4 bbb Önkorm'!BS10+'4 ba Polg Hiv'!BG10+'4 a Intézmények'!CH10</f>
        <v>1318.69</v>
      </c>
      <c r="G10" s="1212"/>
      <c r="H10" s="1076"/>
      <c r="I10" s="1071"/>
      <c r="J10" s="1212">
        <f>SUM(H10+I10)</f>
        <v>0</v>
      </c>
      <c r="K10" s="1214"/>
      <c r="L10" s="1212"/>
      <c r="M10" s="1076"/>
      <c r="N10" s="1071"/>
      <c r="O10" s="1212">
        <f>SUM(M10+N10)</f>
        <v>0</v>
      </c>
      <c r="P10" s="1212"/>
      <c r="Q10" s="1215">
        <f t="shared" si="0"/>
        <v>0</v>
      </c>
      <c r="R10" s="1215">
        <f t="shared" si="0"/>
        <v>0</v>
      </c>
      <c r="S10" s="1216">
        <f t="shared" si="0"/>
        <v>0</v>
      </c>
      <c r="T10" s="984">
        <f>SUM(R10+S10)</f>
        <v>0</v>
      </c>
      <c r="U10" s="993"/>
      <c r="V10" s="984">
        <f t="shared" si="1"/>
        <v>0</v>
      </c>
      <c r="W10" s="984">
        <f t="shared" si="1"/>
        <v>1526.69</v>
      </c>
      <c r="X10" s="994">
        <f t="shared" si="1"/>
        <v>-1</v>
      </c>
      <c r="Y10" s="984">
        <f>SUM(W10+X10)</f>
        <v>1525.69</v>
      </c>
      <c r="Z10" s="993">
        <f>F10+U10</f>
        <v>1318.69</v>
      </c>
    </row>
    <row r="11" spans="1:26" s="1073" customFormat="1" ht="11.25" customHeight="1">
      <c r="A11" s="987" t="s">
        <v>799</v>
      </c>
      <c r="B11" s="1082">
        <f>'4 bbb Önkorm'!BO11+'4 ba Polg Hiv'!BC11+'4 a Intézmények'!CD11</f>
        <v>0</v>
      </c>
      <c r="C11" s="1082">
        <f>'4 bbb Önkorm'!BP11+'4 ba Polg Hiv'!BD11+'4 a Intézmények'!CE11</f>
        <v>1525.69</v>
      </c>
      <c r="D11" s="1081">
        <f>'4 bbb Önkorm'!BQ11+'4 ba Polg Hiv'!BE11+'4 a Intézmények'!CF11</f>
        <v>-3</v>
      </c>
      <c r="E11" s="984">
        <f>'4 bbb Önkorm'!BR11+'4 ba Polg Hiv'!BF11+'4 a Intézmények'!CG11</f>
        <v>1522.69</v>
      </c>
      <c r="F11" s="993">
        <f>'4 bbb Önkorm'!BS11+'4 ba Polg Hiv'!BG11+'4 a Intézmények'!CH11</f>
        <v>1316.69</v>
      </c>
      <c r="G11" s="1212"/>
      <c r="H11" s="1076"/>
      <c r="I11" s="1071"/>
      <c r="J11" s="1212">
        <f>SUM(H11+I11)</f>
        <v>0</v>
      </c>
      <c r="K11" s="1214"/>
      <c r="L11" s="1212"/>
      <c r="M11" s="1076"/>
      <c r="N11" s="1071"/>
      <c r="O11" s="1212">
        <f>SUM(M11+N11)</f>
        <v>0</v>
      </c>
      <c r="P11" s="1212"/>
      <c r="Q11" s="1215">
        <f t="shared" si="0"/>
        <v>0</v>
      </c>
      <c r="R11" s="1215">
        <f t="shared" si="0"/>
        <v>0</v>
      </c>
      <c r="S11" s="1216">
        <f t="shared" si="0"/>
        <v>0</v>
      </c>
      <c r="T11" s="984">
        <f>SUM(R11+S11)</f>
        <v>0</v>
      </c>
      <c r="U11" s="993"/>
      <c r="V11" s="984">
        <f t="shared" si="1"/>
        <v>0</v>
      </c>
      <c r="W11" s="984">
        <f t="shared" si="1"/>
        <v>1525.69</v>
      </c>
      <c r="X11" s="994">
        <f t="shared" si="1"/>
        <v>-3</v>
      </c>
      <c r="Y11" s="984">
        <f>SUM(W11+X11)</f>
        <v>1522.69</v>
      </c>
      <c r="Z11" s="993">
        <f>F11+U11</f>
        <v>1316.69</v>
      </c>
    </row>
    <row r="12" spans="1:26" s="1073" customFormat="1" ht="11.25" customHeight="1">
      <c r="A12" s="881" t="s">
        <v>831</v>
      </c>
      <c r="B12" s="1082"/>
      <c r="C12" s="1082"/>
      <c r="D12" s="1081"/>
      <c r="E12" s="865">
        <v>1525.69</v>
      </c>
      <c r="F12" s="865">
        <v>1525.69</v>
      </c>
      <c r="G12" s="1212"/>
      <c r="H12" s="1076"/>
      <c r="I12" s="1071"/>
      <c r="J12" s="1212"/>
      <c r="K12" s="1214"/>
      <c r="L12" s="1212"/>
      <c r="M12" s="1076"/>
      <c r="N12" s="1071"/>
      <c r="O12" s="1212"/>
      <c r="P12" s="1212"/>
      <c r="Q12" s="1215"/>
      <c r="R12" s="1215"/>
      <c r="S12" s="1216"/>
      <c r="T12" s="984">
        <f>SUM(R12+S12)</f>
        <v>0</v>
      </c>
      <c r="U12" s="993"/>
      <c r="V12" s="984"/>
      <c r="W12" s="984"/>
      <c r="X12" s="994"/>
      <c r="Y12" s="984">
        <v>1525.69</v>
      </c>
      <c r="Z12" s="984">
        <v>1525.69</v>
      </c>
    </row>
    <row r="13" spans="1:26" s="1073" customFormat="1" ht="12.75" customHeight="1">
      <c r="A13" s="1217"/>
      <c r="B13" s="1082"/>
      <c r="C13" s="1082"/>
      <c r="D13" s="1082"/>
      <c r="E13" s="984"/>
      <c r="F13" s="984"/>
      <c r="G13" s="1212"/>
      <c r="H13" s="1076"/>
      <c r="I13" s="1076"/>
      <c r="J13" s="1212"/>
      <c r="K13" s="1212"/>
      <c r="L13" s="1212"/>
      <c r="M13" s="1076"/>
      <c r="N13" s="1076"/>
      <c r="O13" s="1212"/>
      <c r="P13" s="1212"/>
      <c r="Q13" s="1215"/>
      <c r="R13" s="1215"/>
      <c r="S13" s="1215"/>
      <c r="T13" s="984"/>
      <c r="U13" s="984"/>
      <c r="V13" s="984"/>
      <c r="W13" s="984"/>
      <c r="X13" s="984"/>
      <c r="Y13" s="984"/>
      <c r="Z13" s="993"/>
    </row>
    <row r="14" spans="1:26" s="1073" customFormat="1" ht="15" customHeight="1">
      <c r="A14" s="987" t="s">
        <v>894</v>
      </c>
      <c r="B14" s="1082">
        <f>'4 bbb Önkorm'!BO14+'4 ba Polg Hiv'!BC18+'4 a Intézmények'!CD14</f>
        <v>126</v>
      </c>
      <c r="C14" s="1082">
        <f>'4 bbb Önkorm'!BP14+'4 ba Polg Hiv'!BD18+'4 a Intézmények'!CE14</f>
        <v>126</v>
      </c>
      <c r="D14" s="1081">
        <f>'4 bbb Önkorm'!BQ14+'4 ba Polg Hiv'!BE18+'4 a Intézmények'!CF14</f>
        <v>0</v>
      </c>
      <c r="E14" s="984">
        <f>'4 bbb Önkorm'!BR14+'4 ba Polg Hiv'!BF18+'4 a Intézmények'!CG14</f>
        <v>126</v>
      </c>
      <c r="F14" s="993">
        <f>'4 bbb Önkorm'!BS14+'4 ba Polg Hiv'!BG18+'4 a Intézmények'!CH14</f>
        <v>121</v>
      </c>
      <c r="G14" s="1212"/>
      <c r="H14" s="1076"/>
      <c r="I14" s="1071"/>
      <c r="J14" s="1212">
        <f>SUM(H14+I14)</f>
        <v>0</v>
      </c>
      <c r="K14" s="1214"/>
      <c r="L14" s="1212"/>
      <c r="M14" s="1076"/>
      <c r="N14" s="1071"/>
      <c r="O14" s="1212">
        <f>SUM(M14+N14)</f>
        <v>0</v>
      </c>
      <c r="P14" s="1212"/>
      <c r="Q14" s="1215">
        <f>G14+L14</f>
        <v>0</v>
      </c>
      <c r="R14" s="1215">
        <f>H14+M14</f>
        <v>0</v>
      </c>
      <c r="S14" s="1216">
        <f>I14+N14</f>
        <v>0</v>
      </c>
      <c r="T14" s="984">
        <f>SUM(R14+S14)</f>
        <v>0</v>
      </c>
      <c r="U14" s="993"/>
      <c r="V14" s="984">
        <f>B14+Q14</f>
        <v>126</v>
      </c>
      <c r="W14" s="984">
        <f>C14+R14</f>
        <v>126</v>
      </c>
      <c r="X14" s="994">
        <f>D14+S14</f>
        <v>0</v>
      </c>
      <c r="Y14" s="984">
        <f>SUM(W14+X14)</f>
        <v>126</v>
      </c>
      <c r="Z14" s="993">
        <f>F14+U14</f>
        <v>121</v>
      </c>
    </row>
    <row r="15" spans="1:26" s="1073" customFormat="1" ht="15" customHeight="1">
      <c r="A15" s="987" t="s">
        <v>895</v>
      </c>
      <c r="B15" s="1082">
        <f>'4 bbb Önkorm'!BO15+'4 ba Polg Hiv'!BC19+'4 a Intézmények'!CD15</f>
        <v>126</v>
      </c>
      <c r="C15" s="1082">
        <f>'4 bbb Önkorm'!BP15+'4 ba Polg Hiv'!BD19+'4 a Intézmények'!CE15</f>
        <v>135</v>
      </c>
      <c r="D15" s="1081">
        <f>'4 bbb Önkorm'!BQ15+'4 ba Polg Hiv'!BE19+'4 a Intézmények'!CF15</f>
        <v>0</v>
      </c>
      <c r="E15" s="984">
        <f>'4 bbb Önkorm'!BR15+'4 ba Polg Hiv'!BF19+'4 a Intézmények'!CG15</f>
        <v>135</v>
      </c>
      <c r="F15" s="993">
        <f>'4 bbb Önkorm'!BS15+'4 ba Polg Hiv'!BG19+'4 a Intézmények'!CH15</f>
        <v>121</v>
      </c>
      <c r="G15" s="1212"/>
      <c r="H15" s="1076"/>
      <c r="I15" s="1071"/>
      <c r="J15" s="1212">
        <f>SUM(H15+I15)</f>
        <v>0</v>
      </c>
      <c r="K15" s="1214"/>
      <c r="L15" s="1212"/>
      <c r="M15" s="1076"/>
      <c r="N15" s="1071"/>
      <c r="O15" s="1212">
        <f>SUM(M15+N15)</f>
        <v>0</v>
      </c>
      <c r="P15" s="1212"/>
      <c r="Q15" s="1215"/>
      <c r="R15" s="1215">
        <f>H15+M15</f>
        <v>0</v>
      </c>
      <c r="S15" s="1216">
        <f>I15+N15</f>
        <v>0</v>
      </c>
      <c r="T15" s="984">
        <f>SUM(R15+S15)</f>
        <v>0</v>
      </c>
      <c r="U15" s="993"/>
      <c r="V15" s="984"/>
      <c r="W15" s="984">
        <f>C15+R15</f>
        <v>135</v>
      </c>
      <c r="X15" s="994">
        <f>D15+S15</f>
        <v>0</v>
      </c>
      <c r="Y15" s="984">
        <f>SUM(W15+X15)</f>
        <v>135</v>
      </c>
      <c r="Z15" s="993">
        <f>F15+U15</f>
        <v>121</v>
      </c>
    </row>
    <row r="16" spans="1:26" s="630" customFormat="1" ht="13.5" customHeight="1">
      <c r="A16" s="980"/>
      <c r="B16" s="1082"/>
      <c r="C16" s="1082"/>
      <c r="D16" s="1082"/>
      <c r="E16" s="984"/>
      <c r="F16" s="984"/>
      <c r="G16" s="1212"/>
      <c r="H16" s="744"/>
      <c r="I16" s="744"/>
      <c r="J16" s="1213"/>
      <c r="K16" s="1213"/>
      <c r="L16" s="1213"/>
      <c r="M16" s="744"/>
      <c r="N16" s="744"/>
      <c r="O16" s="1213"/>
      <c r="P16" s="1213"/>
      <c r="Q16" s="1067"/>
      <c r="R16" s="1067"/>
      <c r="S16" s="1067"/>
      <c r="T16" s="1007"/>
      <c r="U16" s="1007"/>
      <c r="V16" s="984"/>
      <c r="W16" s="984"/>
      <c r="X16" s="984"/>
      <c r="Y16" s="984"/>
      <c r="Z16" s="961"/>
    </row>
    <row r="17" spans="1:29" s="630" customFormat="1" ht="15" customHeight="1">
      <c r="A17" s="961" t="s">
        <v>832</v>
      </c>
      <c r="B17" s="1007"/>
      <c r="C17" s="1007"/>
      <c r="D17" s="1067"/>
      <c r="E17" s="1007"/>
      <c r="F17" s="1007"/>
      <c r="G17" s="1213"/>
      <c r="H17" s="1213"/>
      <c r="I17" s="744"/>
      <c r="J17" s="1213"/>
      <c r="K17" s="1213"/>
      <c r="L17" s="1213"/>
      <c r="M17" s="1213"/>
      <c r="N17" s="744"/>
      <c r="O17" s="1213"/>
      <c r="P17" s="1213"/>
      <c r="Q17" s="1007"/>
      <c r="R17" s="1007"/>
      <c r="S17" s="1067"/>
      <c r="T17" s="1007"/>
      <c r="U17" s="1007"/>
      <c r="V17" s="1007"/>
      <c r="W17" s="1007"/>
      <c r="X17" s="1007"/>
      <c r="Y17" s="1007"/>
      <c r="Z17" s="961"/>
    </row>
    <row r="18" spans="1:29" ht="34.5" hidden="1" customHeight="1">
      <c r="A18" s="405" t="s">
        <v>11</v>
      </c>
      <c r="B18" s="1067">
        <f>'4 bbb Önkorm'!BO18+'4 ba Polg Hiv'!BC22+'4 a Intézmények'!CD18</f>
        <v>0</v>
      </c>
      <c r="C18" s="1067">
        <f>'4 bbb Önkorm'!BP18+'4 ba Polg Hiv'!BD22+'4 a Intézmények'!CE18</f>
        <v>0</v>
      </c>
      <c r="D18" s="1089">
        <f>'4 bbb Önkorm'!BQ18+'4 ba Polg Hiv'!BE22+'4 a Intézmények'!CF18</f>
        <v>0</v>
      </c>
      <c r="E18" s="1013">
        <f>SUM(C18+D18)</f>
        <v>0</v>
      </c>
      <c r="F18" s="1020"/>
      <c r="G18" s="1099"/>
      <c r="H18" s="1094"/>
      <c r="I18" s="1084"/>
      <c r="J18" s="1099">
        <f>SUM(H18+I18)</f>
        <v>0</v>
      </c>
      <c r="K18" s="1100"/>
      <c r="L18" s="1099"/>
      <c r="M18" s="1094"/>
      <c r="N18" s="1084"/>
      <c r="O18" s="1099">
        <f>SUM(M18+N18)</f>
        <v>0</v>
      </c>
      <c r="P18" s="1099"/>
      <c r="Q18" s="1106">
        <f t="shared" ref="Q18:S21" si="2">G18+L18</f>
        <v>0</v>
      </c>
      <c r="R18" s="1106">
        <f t="shared" si="2"/>
        <v>0</v>
      </c>
      <c r="S18" s="1218">
        <f t="shared" si="2"/>
        <v>0</v>
      </c>
      <c r="T18" s="1013">
        <f>SUM(R18+S18)</f>
        <v>0</v>
      </c>
      <c r="U18" s="1020"/>
      <c r="V18" s="1007">
        <f t="shared" ref="V18:X21" si="3">B18+Q18</f>
        <v>0</v>
      </c>
      <c r="W18" s="1007">
        <f t="shared" si="3"/>
        <v>0</v>
      </c>
      <c r="X18" s="1197">
        <f t="shared" si="3"/>
        <v>0</v>
      </c>
      <c r="Y18" s="1013">
        <f>SUM(W18+X18)</f>
        <v>0</v>
      </c>
    </row>
    <row r="19" spans="1:29" ht="15" customHeight="1">
      <c r="A19" s="405" t="s">
        <v>701</v>
      </c>
      <c r="B19" s="1067">
        <f>'4 bbb Önkorm'!BO19+'4 ba Polg Hiv'!BC23+'4 a Intézmények'!CD19</f>
        <v>4319636573</v>
      </c>
      <c r="C19" s="1067">
        <f>'4 bbb Önkorm'!BP19+'4 ba Polg Hiv'!BD23+'4 a Intézmények'!CE19</f>
        <v>4376402530</v>
      </c>
      <c r="D19" s="1091">
        <f>'4 bbb Önkorm'!BQ19+'4 ba Polg Hiv'!BE23+'4 a Intézmények'!CF19</f>
        <v>31661392</v>
      </c>
      <c r="E19" s="1013">
        <f>'4 bbb Önkorm'!BR19+'4 ba Polg Hiv'!BF23+'4 a Intézmények'!CG19</f>
        <v>4561080694</v>
      </c>
      <c r="F19" s="1013">
        <f>'4 bbb Önkorm'!BS19+'4 ba Polg Hiv'!BG23+'4 a Intézmények'!CH19</f>
        <v>4342739610</v>
      </c>
      <c r="G19" s="1099"/>
      <c r="H19" s="1094"/>
      <c r="I19" s="1084"/>
      <c r="J19" s="1099">
        <f>SUM(H19+I19)</f>
        <v>0</v>
      </c>
      <c r="K19" s="1100"/>
      <c r="L19" s="1099"/>
      <c r="M19" s="1094"/>
      <c r="N19" s="1084"/>
      <c r="O19" s="1099">
        <f>SUM(M19+N19)</f>
        <v>0</v>
      </c>
      <c r="P19" s="1099"/>
      <c r="Q19" s="1106">
        <f t="shared" si="2"/>
        <v>0</v>
      </c>
      <c r="R19" s="1106">
        <f t="shared" si="2"/>
        <v>0</v>
      </c>
      <c r="S19" s="1097">
        <f t="shared" si="2"/>
        <v>0</v>
      </c>
      <c r="T19" s="1013">
        <f>SUM(R19+S19)</f>
        <v>0</v>
      </c>
      <c r="U19" s="1020"/>
      <c r="V19" s="1007">
        <f t="shared" si="3"/>
        <v>4319636573</v>
      </c>
      <c r="W19" s="1007">
        <f t="shared" si="3"/>
        <v>4376402530</v>
      </c>
      <c r="X19" s="1219">
        <f t="shared" si="3"/>
        <v>31661392</v>
      </c>
      <c r="Y19" s="916">
        <f t="shared" ref="Y19:Z34" si="4">E19+T19</f>
        <v>4561080694</v>
      </c>
      <c r="Z19" s="916">
        <f t="shared" si="4"/>
        <v>4342739610</v>
      </c>
    </row>
    <row r="20" spans="1:29" ht="15" customHeight="1">
      <c r="A20" s="405" t="s">
        <v>702</v>
      </c>
      <c r="B20" s="1067">
        <f>'4 bbb Önkorm'!BO20+'4 ba Polg Hiv'!BC24+'4 a Intézmények'!CD20</f>
        <v>283091000</v>
      </c>
      <c r="C20" s="1067">
        <f>'4 bbb Önkorm'!BP20+'4 ba Polg Hiv'!BD24+'4 a Intézmények'!CE20</f>
        <v>290930402</v>
      </c>
      <c r="D20" s="1091">
        <f>'4 bbb Önkorm'!BQ20+'4 ba Polg Hiv'!BE24+'4 a Intézmények'!CF20</f>
        <v>1927584</v>
      </c>
      <c r="E20" s="1013">
        <f>'4 bbb Önkorm'!BR20+'4 ba Polg Hiv'!BF24+'4 a Intézmények'!CG20</f>
        <v>319725805</v>
      </c>
      <c r="F20" s="1013">
        <f>'4 bbb Önkorm'!BS20+'4 ba Polg Hiv'!BG24+'4 a Intézmények'!CH20</f>
        <v>272790504</v>
      </c>
      <c r="G20" s="1099"/>
      <c r="H20" s="1094"/>
      <c r="I20" s="1084"/>
      <c r="J20" s="1099">
        <f>SUM(H20+I20)</f>
        <v>0</v>
      </c>
      <c r="K20" s="1100"/>
      <c r="L20" s="1099"/>
      <c r="M20" s="1094"/>
      <c r="N20" s="1084"/>
      <c r="O20" s="1099">
        <f>SUM(M20+N20)</f>
        <v>0</v>
      </c>
      <c r="P20" s="1099"/>
      <c r="Q20" s="1106">
        <f t="shared" si="2"/>
        <v>0</v>
      </c>
      <c r="R20" s="1106">
        <f t="shared" si="2"/>
        <v>0</v>
      </c>
      <c r="S20" s="1097">
        <f t="shared" si="2"/>
        <v>0</v>
      </c>
      <c r="T20" s="1013">
        <f>SUM(R20+S20)</f>
        <v>0</v>
      </c>
      <c r="U20" s="1020"/>
      <c r="V20" s="1007">
        <f t="shared" si="3"/>
        <v>283091000</v>
      </c>
      <c r="W20" s="1007">
        <f t="shared" si="3"/>
        <v>290930402</v>
      </c>
      <c r="X20" s="1219">
        <f t="shared" si="3"/>
        <v>1927584</v>
      </c>
      <c r="Y20" s="916">
        <f t="shared" si="4"/>
        <v>319725805</v>
      </c>
      <c r="Z20" s="916">
        <f t="shared" si="4"/>
        <v>272790504</v>
      </c>
    </row>
    <row r="21" spans="1:29" s="630" customFormat="1" ht="15" customHeight="1">
      <c r="A21" s="455" t="s">
        <v>703</v>
      </c>
      <c r="B21" s="1067">
        <f>'4 bbb Önkorm'!BO21+'4 ba Polg Hiv'!BC25+'4 a Intézmények'!CD21</f>
        <v>1331437888</v>
      </c>
      <c r="C21" s="1067">
        <f>'4 bbb Önkorm'!BP21+'4 ba Polg Hiv'!BD25+'4 a Intézmények'!CE21</f>
        <v>1364484361</v>
      </c>
      <c r="D21" s="1091">
        <f>'4 bbb Önkorm'!BQ21+'4 ba Polg Hiv'!BE25+'4 a Intézmények'!CF21</f>
        <v>9470716</v>
      </c>
      <c r="E21" s="1013">
        <f>'4 bbb Önkorm'!BR21+'4 ba Polg Hiv'!BF25+'4 a Intézmények'!CG21</f>
        <v>1412746778</v>
      </c>
      <c r="F21" s="1013">
        <f>'4 bbb Önkorm'!BS21+'4 ba Polg Hiv'!BG25+'4 a Intézmények'!CH21</f>
        <v>1327592192</v>
      </c>
      <c r="G21" s="1099"/>
      <c r="H21" s="1094"/>
      <c r="I21" s="1084"/>
      <c r="J21" s="1099">
        <f>SUM(H21+I21)</f>
        <v>0</v>
      </c>
      <c r="K21" s="1100"/>
      <c r="L21" s="1099"/>
      <c r="M21" s="1094"/>
      <c r="N21" s="1084"/>
      <c r="O21" s="1099">
        <f>SUM(M21+N21)</f>
        <v>0</v>
      </c>
      <c r="P21" s="1099"/>
      <c r="Q21" s="1106">
        <f t="shared" si="2"/>
        <v>0</v>
      </c>
      <c r="R21" s="1106">
        <f t="shared" si="2"/>
        <v>0</v>
      </c>
      <c r="S21" s="1097">
        <f t="shared" si="2"/>
        <v>0</v>
      </c>
      <c r="T21" s="1013">
        <f>SUM(R21+S21)</f>
        <v>0</v>
      </c>
      <c r="U21" s="1020"/>
      <c r="V21" s="1007">
        <f t="shared" si="3"/>
        <v>1331437888</v>
      </c>
      <c r="W21" s="1007">
        <f t="shared" si="3"/>
        <v>1364484361</v>
      </c>
      <c r="X21" s="1219">
        <f t="shared" si="3"/>
        <v>9470716</v>
      </c>
      <c r="Y21" s="916">
        <f t="shared" si="4"/>
        <v>1412746778</v>
      </c>
      <c r="Z21" s="916">
        <f t="shared" si="4"/>
        <v>1327592192</v>
      </c>
      <c r="AA21" s="305"/>
      <c r="AB21" s="305"/>
      <c r="AC21" s="305"/>
    </row>
    <row r="22" spans="1:29" s="630" customFormat="1" ht="34.5" hidden="1" customHeight="1">
      <c r="A22" s="1092" t="s">
        <v>704</v>
      </c>
      <c r="B22" s="1067">
        <f>'4 bbb Önkorm'!BO22+'4 ba Polg Hiv'!BC26+'4 a Intézmények'!CD22</f>
        <v>0</v>
      </c>
      <c r="C22" s="1067">
        <f>'4 bbb Önkorm'!BP22+'4 ba Polg Hiv'!BD26+'4 a Intézmények'!CE22</f>
        <v>0</v>
      </c>
      <c r="D22" s="1091">
        <f>'4 bbb Önkorm'!BQ22+'4 ba Polg Hiv'!BE26+'4 a Intézmények'!CF22</f>
        <v>0</v>
      </c>
      <c r="E22" s="1013">
        <f>'4 bbb Önkorm'!BR22+'4 ba Polg Hiv'!BF26+'4 a Intézmények'!CG22</f>
        <v>0</v>
      </c>
      <c r="F22" s="1013">
        <f>'4 bbb Önkorm'!BS22+'4 ba Polg Hiv'!BG26+'4 a Intézmények'!CH22</f>
        <v>0</v>
      </c>
      <c r="G22" s="1099"/>
      <c r="H22" s="1094"/>
      <c r="I22" s="1084"/>
      <c r="J22" s="1099"/>
      <c r="K22" s="1100"/>
      <c r="L22" s="1099"/>
      <c r="M22" s="1094"/>
      <c r="N22" s="1084"/>
      <c r="O22" s="1099"/>
      <c r="P22" s="1099"/>
      <c r="Q22" s="1106"/>
      <c r="R22" s="1106"/>
      <c r="S22" s="1097"/>
      <c r="T22" s="1013"/>
      <c r="U22" s="1020"/>
      <c r="V22" s="1007"/>
      <c r="W22" s="1007"/>
      <c r="X22" s="1219"/>
      <c r="Y22" s="916">
        <f t="shared" si="4"/>
        <v>0</v>
      </c>
      <c r="Z22" s="916">
        <f t="shared" si="4"/>
        <v>0</v>
      </c>
      <c r="AA22" s="305"/>
      <c r="AB22" s="305"/>
      <c r="AC22" s="305"/>
    </row>
    <row r="23" spans="1:29" ht="15" customHeight="1">
      <c r="A23" s="405" t="s">
        <v>705</v>
      </c>
      <c r="B23" s="1067">
        <f>'4 bbb Önkorm'!BO23+'4 ba Polg Hiv'!BC27+'4 a Intézmények'!CD23</f>
        <v>799128053</v>
      </c>
      <c r="C23" s="1067">
        <f>'4 bbb Önkorm'!BP23+'4 ba Polg Hiv'!BD27+'4 a Intézmények'!CE23</f>
        <v>828923998</v>
      </c>
      <c r="D23" s="1091">
        <f>'4 bbb Önkorm'!BQ23+'4 ba Polg Hiv'!BE27+'4 a Intézmények'!CF23</f>
        <v>-82800</v>
      </c>
      <c r="E23" s="1013">
        <f>'4 bbb Önkorm'!BR23+'4 ba Polg Hiv'!BF27+'4 a Intézmények'!CG23</f>
        <v>818244551</v>
      </c>
      <c r="F23" s="1013">
        <f>'4 bbb Önkorm'!BS23+'4 ba Polg Hiv'!BG27+'4 a Intézmények'!CH23</f>
        <v>773952770</v>
      </c>
      <c r="G23" s="1099"/>
      <c r="H23" s="1094"/>
      <c r="I23" s="1084"/>
      <c r="J23" s="1099">
        <f t="shared" ref="J23:J34" si="5">SUM(H23+I23)</f>
        <v>0</v>
      </c>
      <c r="K23" s="1100"/>
      <c r="L23" s="1099"/>
      <c r="M23" s="1094"/>
      <c r="N23" s="1084"/>
      <c r="O23" s="1099">
        <f t="shared" ref="O23:O34" si="6">SUM(M23+N23)</f>
        <v>0</v>
      </c>
      <c r="P23" s="1099"/>
      <c r="Q23" s="1106">
        <f t="shared" ref="Q23:Q34" si="7">G23+L23</f>
        <v>0</v>
      </c>
      <c r="R23" s="1106">
        <f t="shared" ref="R23:R34" si="8">H23+M23</f>
        <v>0</v>
      </c>
      <c r="S23" s="1097">
        <f t="shared" ref="S23:S34" si="9">I23+N23</f>
        <v>0</v>
      </c>
      <c r="T23" s="1013">
        <f t="shared" ref="T23:T34" si="10">SUM(R23+S23)</f>
        <v>0</v>
      </c>
      <c r="U23" s="1020"/>
      <c r="V23" s="1007">
        <f t="shared" ref="V23:V34" si="11">B23+Q23</f>
        <v>799128053</v>
      </c>
      <c r="W23" s="1007">
        <f t="shared" ref="W23:W34" si="12">C23+R23</f>
        <v>828923998</v>
      </c>
      <c r="X23" s="1219">
        <f t="shared" ref="X23:X34" si="13">D23+S23</f>
        <v>-82800</v>
      </c>
      <c r="Y23" s="916">
        <f t="shared" si="4"/>
        <v>818244551</v>
      </c>
      <c r="Z23" s="916">
        <f t="shared" si="4"/>
        <v>773952770</v>
      </c>
    </row>
    <row r="24" spans="1:29" ht="15" customHeight="1">
      <c r="A24" s="1092" t="s">
        <v>706</v>
      </c>
      <c r="B24" s="1067">
        <f>'4 bbb Önkorm'!BO24+'4 ba Polg Hiv'!BC28+'4 a Intézmények'!CD24</f>
        <v>0</v>
      </c>
      <c r="C24" s="1067">
        <f>'4 bbb Önkorm'!BP24+'4 ba Polg Hiv'!BD28+'4 a Intézmények'!CE24</f>
        <v>0</v>
      </c>
      <c r="D24" s="1091">
        <f>'4 bbb Önkorm'!BQ24+'4 ba Polg Hiv'!BE28+'4 a Intézmények'!CF24</f>
        <v>0</v>
      </c>
      <c r="E24" s="1013">
        <f>'4 bbb Önkorm'!BR24+'4 ba Polg Hiv'!BF28+'4 a Intézmények'!CG24</f>
        <v>0</v>
      </c>
      <c r="F24" s="1013">
        <f>'4 bbb Önkorm'!BS24+'4 ba Polg Hiv'!BG28+'4 a Intézmények'!CH24</f>
        <v>0</v>
      </c>
      <c r="G24" s="1099"/>
      <c r="H24" s="1094"/>
      <c r="I24" s="1084"/>
      <c r="J24" s="1099">
        <f t="shared" si="5"/>
        <v>0</v>
      </c>
      <c r="K24" s="1100"/>
      <c r="L24" s="1099"/>
      <c r="M24" s="1094"/>
      <c r="N24" s="1084"/>
      <c r="O24" s="1099">
        <f t="shared" si="6"/>
        <v>0</v>
      </c>
      <c r="P24" s="1099"/>
      <c r="Q24" s="1106">
        <f t="shared" si="7"/>
        <v>0</v>
      </c>
      <c r="R24" s="1106">
        <f t="shared" si="8"/>
        <v>0</v>
      </c>
      <c r="S24" s="1097">
        <f t="shared" si="9"/>
        <v>0</v>
      </c>
      <c r="T24" s="1013">
        <f t="shared" si="10"/>
        <v>0</v>
      </c>
      <c r="U24" s="1020"/>
      <c r="V24" s="1007">
        <f t="shared" si="11"/>
        <v>0</v>
      </c>
      <c r="W24" s="1007">
        <f t="shared" si="12"/>
        <v>0</v>
      </c>
      <c r="X24" s="1219">
        <f t="shared" si="13"/>
        <v>0</v>
      </c>
      <c r="Y24" s="916">
        <f t="shared" si="4"/>
        <v>0</v>
      </c>
      <c r="Z24" s="916">
        <f t="shared" si="4"/>
        <v>0</v>
      </c>
    </row>
    <row r="25" spans="1:29" ht="15" customHeight="1">
      <c r="A25" s="1092" t="s">
        <v>707</v>
      </c>
      <c r="B25" s="1067">
        <f>'4 bbb Önkorm'!BO25+'4 ba Polg Hiv'!BC29+'4 a Intézmények'!CD25</f>
        <v>4807535771</v>
      </c>
      <c r="C25" s="1067">
        <f>'4 bbb Önkorm'!BP25+'4 ba Polg Hiv'!BD29+'4 a Intézmények'!CE25</f>
        <v>5055562542</v>
      </c>
      <c r="D25" s="1091">
        <f>'4 bbb Önkorm'!BQ25+'4 ba Polg Hiv'!BE29+'4 a Intézmények'!CF25</f>
        <v>-38123262</v>
      </c>
      <c r="E25" s="1013">
        <f>'4 bbb Önkorm'!BR25+'4 ba Polg Hiv'!BF29+'4 a Intézmények'!CG25</f>
        <v>5428904299</v>
      </c>
      <c r="F25" s="1013">
        <f>'4 bbb Önkorm'!BS25+'4 ba Polg Hiv'!BG29+'4 a Intézmények'!CH25</f>
        <v>4370955515</v>
      </c>
      <c r="G25" s="1099"/>
      <c r="H25" s="1094"/>
      <c r="I25" s="1084"/>
      <c r="J25" s="1099">
        <f t="shared" si="5"/>
        <v>0</v>
      </c>
      <c r="K25" s="1100"/>
      <c r="L25" s="1099"/>
      <c r="M25" s="1094"/>
      <c r="N25" s="1084"/>
      <c r="O25" s="1099">
        <f t="shared" si="6"/>
        <v>0</v>
      </c>
      <c r="P25" s="1099"/>
      <c r="Q25" s="1106">
        <f t="shared" si="7"/>
        <v>0</v>
      </c>
      <c r="R25" s="1106">
        <f t="shared" si="8"/>
        <v>0</v>
      </c>
      <c r="S25" s="1097">
        <f t="shared" si="9"/>
        <v>0</v>
      </c>
      <c r="T25" s="1013">
        <f t="shared" si="10"/>
        <v>0</v>
      </c>
      <c r="U25" s="1020"/>
      <c r="V25" s="1007">
        <f t="shared" si="11"/>
        <v>4807535771</v>
      </c>
      <c r="W25" s="1007">
        <f t="shared" si="12"/>
        <v>5055562542</v>
      </c>
      <c r="X25" s="1219">
        <f t="shared" si="13"/>
        <v>-38123262</v>
      </c>
      <c r="Y25" s="916">
        <f t="shared" si="4"/>
        <v>5428904299</v>
      </c>
      <c r="Z25" s="916">
        <f t="shared" si="4"/>
        <v>4370955515</v>
      </c>
    </row>
    <row r="26" spans="1:29" ht="15" customHeight="1">
      <c r="A26" s="405" t="s">
        <v>17</v>
      </c>
      <c r="B26" s="1067">
        <f>'4 bbb Önkorm'!BO26+'4 ba Polg Hiv'!BC30+'4 a Intézmények'!CD26</f>
        <v>334589000</v>
      </c>
      <c r="C26" s="1067">
        <f>'4 bbb Önkorm'!BP26+'4 ba Polg Hiv'!BD30+'4 a Intézmények'!CE26</f>
        <v>334949000</v>
      </c>
      <c r="D26" s="1091">
        <f>'4 bbb Önkorm'!BQ26+'4 ba Polg Hiv'!BE30+'4 a Intézmények'!CF26</f>
        <v>160000</v>
      </c>
      <c r="E26" s="1013">
        <f>'4 bbb Önkorm'!BR26+'4 ba Polg Hiv'!BF30+'4 a Intézmények'!CG26</f>
        <v>344281739</v>
      </c>
      <c r="F26" s="1013">
        <f>'4 bbb Önkorm'!BS26+'4 ba Polg Hiv'!BG30+'4 a Intézmények'!CH26</f>
        <v>245442053</v>
      </c>
      <c r="G26" s="1099"/>
      <c r="H26" s="1094"/>
      <c r="I26" s="1084"/>
      <c r="J26" s="1099">
        <f t="shared" si="5"/>
        <v>0</v>
      </c>
      <c r="K26" s="1100"/>
      <c r="L26" s="1099"/>
      <c r="M26" s="1094"/>
      <c r="N26" s="1084"/>
      <c r="O26" s="1099">
        <f t="shared" si="6"/>
        <v>0</v>
      </c>
      <c r="P26" s="1099"/>
      <c r="Q26" s="1106">
        <f t="shared" si="7"/>
        <v>0</v>
      </c>
      <c r="R26" s="1106">
        <f t="shared" si="8"/>
        <v>0</v>
      </c>
      <c r="S26" s="1097">
        <f t="shared" si="9"/>
        <v>0</v>
      </c>
      <c r="T26" s="1013">
        <f t="shared" si="10"/>
        <v>0</v>
      </c>
      <c r="U26" s="1020"/>
      <c r="V26" s="1007">
        <f t="shared" si="11"/>
        <v>334589000</v>
      </c>
      <c r="W26" s="1007">
        <f t="shared" si="12"/>
        <v>334949000</v>
      </c>
      <c r="X26" s="1219">
        <f t="shared" si="13"/>
        <v>160000</v>
      </c>
      <c r="Y26" s="916">
        <f t="shared" si="4"/>
        <v>344281739</v>
      </c>
      <c r="Z26" s="916">
        <f t="shared" si="4"/>
        <v>245442053</v>
      </c>
    </row>
    <row r="27" spans="1:29" ht="34.5" hidden="1" customHeight="1">
      <c r="A27" s="405" t="s">
        <v>19</v>
      </c>
      <c r="B27" s="1067">
        <f>'4 bbb Önkorm'!BO27+'4 ba Polg Hiv'!BC31+'4 a Intézmények'!CD27</f>
        <v>0</v>
      </c>
      <c r="C27" s="1067">
        <f>'4 bbb Önkorm'!BP27+'4 ba Polg Hiv'!BD31+'4 a Intézmények'!CE27</f>
        <v>0</v>
      </c>
      <c r="D27" s="1091">
        <f>'4 bbb Önkorm'!BQ27+'4 ba Polg Hiv'!BE31+'4 a Intézmények'!CF27</f>
        <v>0</v>
      </c>
      <c r="E27" s="1013">
        <f>'4 bbb Önkorm'!BR27+'4 ba Polg Hiv'!BF31+'4 a Intézmények'!CG27</f>
        <v>0</v>
      </c>
      <c r="F27" s="1013">
        <f>'4 bbb Önkorm'!BS27+'4 ba Polg Hiv'!BG31+'4 a Intézmények'!CH27</f>
        <v>0</v>
      </c>
      <c r="G27" s="1099"/>
      <c r="H27" s="1094"/>
      <c r="I27" s="1084"/>
      <c r="J27" s="1099">
        <f t="shared" si="5"/>
        <v>0</v>
      </c>
      <c r="K27" s="1100"/>
      <c r="L27" s="1099"/>
      <c r="M27" s="1094"/>
      <c r="N27" s="1084"/>
      <c r="O27" s="1099">
        <f t="shared" si="6"/>
        <v>0</v>
      </c>
      <c r="P27" s="1099"/>
      <c r="Q27" s="1106">
        <f t="shared" si="7"/>
        <v>0</v>
      </c>
      <c r="R27" s="1106">
        <f t="shared" si="8"/>
        <v>0</v>
      </c>
      <c r="S27" s="1097">
        <f t="shared" si="9"/>
        <v>0</v>
      </c>
      <c r="T27" s="1013">
        <f t="shared" si="10"/>
        <v>0</v>
      </c>
      <c r="U27" s="1020"/>
      <c r="V27" s="1007">
        <f t="shared" si="11"/>
        <v>0</v>
      </c>
      <c r="W27" s="1007">
        <f t="shared" si="12"/>
        <v>0</v>
      </c>
      <c r="X27" s="1219">
        <f t="shared" si="13"/>
        <v>0</v>
      </c>
      <c r="Y27" s="916">
        <f t="shared" si="4"/>
        <v>0</v>
      </c>
      <c r="Z27" s="916">
        <f t="shared" si="4"/>
        <v>0</v>
      </c>
    </row>
    <row r="28" spans="1:29" ht="15" customHeight="1">
      <c r="A28" s="405" t="s">
        <v>708</v>
      </c>
      <c r="B28" s="1067">
        <f>'4 bbb Önkorm'!BO28+'4 ba Polg Hiv'!BC32+'4 a Intézmények'!CD28</f>
        <v>0</v>
      </c>
      <c r="C28" s="1067">
        <f>'4 bbb Önkorm'!BP28+'4 ba Polg Hiv'!BD32+'4 a Intézmények'!CE28</f>
        <v>52257876</v>
      </c>
      <c r="D28" s="1091">
        <f>'4 bbb Önkorm'!BQ28+'4 ba Polg Hiv'!BE32+'4 a Intézmények'!CF28</f>
        <v>0</v>
      </c>
      <c r="E28" s="1013">
        <f>'4 bbb Önkorm'!BR28+'4 ba Polg Hiv'!BF32+'4 a Intézmények'!CG28</f>
        <v>97940657</v>
      </c>
      <c r="F28" s="1013">
        <f>'4 bbb Önkorm'!BS28+'4 ba Polg Hiv'!BG32+'4 a Intézmények'!CH28</f>
        <v>52257876</v>
      </c>
      <c r="G28" s="1099"/>
      <c r="H28" s="1094"/>
      <c r="I28" s="1084"/>
      <c r="J28" s="1099">
        <f t="shared" si="5"/>
        <v>0</v>
      </c>
      <c r="K28" s="1100"/>
      <c r="L28" s="1099"/>
      <c r="M28" s="1094"/>
      <c r="N28" s="1084"/>
      <c r="O28" s="1099">
        <f t="shared" si="6"/>
        <v>0</v>
      </c>
      <c r="P28" s="1099"/>
      <c r="Q28" s="1106">
        <f t="shared" si="7"/>
        <v>0</v>
      </c>
      <c r="R28" s="1106">
        <f t="shared" si="8"/>
        <v>0</v>
      </c>
      <c r="S28" s="1097">
        <f t="shared" si="9"/>
        <v>0</v>
      </c>
      <c r="T28" s="1013">
        <f t="shared" si="10"/>
        <v>0</v>
      </c>
      <c r="U28" s="1020"/>
      <c r="V28" s="1007">
        <f t="shared" si="11"/>
        <v>0</v>
      </c>
      <c r="W28" s="1007">
        <f t="shared" si="12"/>
        <v>52257876</v>
      </c>
      <c r="X28" s="1219">
        <f t="shared" si="13"/>
        <v>0</v>
      </c>
      <c r="Y28" s="916">
        <f t="shared" si="4"/>
        <v>97940657</v>
      </c>
      <c r="Z28" s="916">
        <f t="shared" si="4"/>
        <v>52257876</v>
      </c>
    </row>
    <row r="29" spans="1:29" ht="15" customHeight="1">
      <c r="A29" s="405" t="s">
        <v>709</v>
      </c>
      <c r="B29" s="1067">
        <f>'4 bbb Önkorm'!BO29+'4 ba Polg Hiv'!BC33+'4 a Intézmények'!CD29</f>
        <v>34844000</v>
      </c>
      <c r="C29" s="1067">
        <f>'4 bbb Önkorm'!BP29+'4 ba Polg Hiv'!BD33+'4 a Intézmények'!CE29</f>
        <v>43244000</v>
      </c>
      <c r="D29" s="1091">
        <f>'4 bbb Önkorm'!BQ29+'4 ba Polg Hiv'!BE33+'4 a Intézmények'!CF29</f>
        <v>-2558790</v>
      </c>
      <c r="E29" s="1013">
        <f>'4 bbb Önkorm'!BR29+'4 ba Polg Hiv'!BF33+'4 a Intézmények'!CG29</f>
        <v>41970604</v>
      </c>
      <c r="F29" s="1013">
        <f>'4 bbb Önkorm'!BS29+'4 ba Polg Hiv'!BG33+'4 a Intézmények'!CH29</f>
        <v>40126563</v>
      </c>
      <c r="G29" s="1099"/>
      <c r="H29" s="1094"/>
      <c r="I29" s="1084"/>
      <c r="J29" s="1099">
        <f t="shared" si="5"/>
        <v>0</v>
      </c>
      <c r="K29" s="1100"/>
      <c r="L29" s="1099"/>
      <c r="M29" s="1094"/>
      <c r="N29" s="1084"/>
      <c r="O29" s="1099">
        <f t="shared" si="6"/>
        <v>0</v>
      </c>
      <c r="P29" s="1099"/>
      <c r="Q29" s="1106">
        <f t="shared" si="7"/>
        <v>0</v>
      </c>
      <c r="R29" s="1106">
        <f t="shared" si="8"/>
        <v>0</v>
      </c>
      <c r="S29" s="1097">
        <f t="shared" si="9"/>
        <v>0</v>
      </c>
      <c r="T29" s="1013">
        <f t="shared" si="10"/>
        <v>0</v>
      </c>
      <c r="U29" s="1020"/>
      <c r="V29" s="1007">
        <f t="shared" si="11"/>
        <v>34844000</v>
      </c>
      <c r="W29" s="1007">
        <f t="shared" si="12"/>
        <v>43244000</v>
      </c>
      <c r="X29" s="1219">
        <f t="shared" si="13"/>
        <v>-2558790</v>
      </c>
      <c r="Y29" s="916">
        <f t="shared" si="4"/>
        <v>41970604</v>
      </c>
      <c r="Z29" s="916">
        <f t="shared" si="4"/>
        <v>40126563</v>
      </c>
    </row>
    <row r="30" spans="1:29" ht="15" customHeight="1">
      <c r="A30" s="405" t="s">
        <v>710</v>
      </c>
      <c r="B30" s="1067">
        <f>'4 bbb Önkorm'!BO30+'4 ba Polg Hiv'!BC34+'4 a Intézmények'!CD30</f>
        <v>0</v>
      </c>
      <c r="C30" s="1067">
        <f>'4 bbb Önkorm'!BP30+'4 ba Polg Hiv'!BD34+'4 a Intézmények'!CE30</f>
        <v>0</v>
      </c>
      <c r="D30" s="1091">
        <f>'4 bbb Önkorm'!BQ30+'4 ba Polg Hiv'!BE34+'4 a Intézmények'!CF30</f>
        <v>0</v>
      </c>
      <c r="E30" s="1013">
        <f>'4 bbb Önkorm'!BR30+'4 ba Polg Hiv'!BF34+'4 a Intézmények'!CG30</f>
        <v>0</v>
      </c>
      <c r="F30" s="1013">
        <f>'4 bbb Önkorm'!BS30+'4 ba Polg Hiv'!BG34+'4 a Intézmények'!CH30</f>
        <v>0</v>
      </c>
      <c r="G30" s="1099"/>
      <c r="H30" s="1094"/>
      <c r="I30" s="1084"/>
      <c r="J30" s="1099">
        <f t="shared" si="5"/>
        <v>0</v>
      </c>
      <c r="K30" s="1100"/>
      <c r="L30" s="1099"/>
      <c r="M30" s="1094"/>
      <c r="N30" s="1084"/>
      <c r="O30" s="1099">
        <f t="shared" si="6"/>
        <v>0</v>
      </c>
      <c r="P30" s="1099"/>
      <c r="Q30" s="1106">
        <f t="shared" si="7"/>
        <v>0</v>
      </c>
      <c r="R30" s="1106">
        <f t="shared" si="8"/>
        <v>0</v>
      </c>
      <c r="S30" s="1097">
        <f t="shared" si="9"/>
        <v>0</v>
      </c>
      <c r="T30" s="1013">
        <f t="shared" si="10"/>
        <v>0</v>
      </c>
      <c r="U30" s="1020"/>
      <c r="V30" s="1007">
        <f t="shared" si="11"/>
        <v>0</v>
      </c>
      <c r="W30" s="1007">
        <f t="shared" si="12"/>
        <v>0</v>
      </c>
      <c r="X30" s="1219">
        <f t="shared" si="13"/>
        <v>0</v>
      </c>
      <c r="Y30" s="916">
        <f t="shared" si="4"/>
        <v>0</v>
      </c>
      <c r="Z30" s="916">
        <f t="shared" si="4"/>
        <v>0</v>
      </c>
    </row>
    <row r="31" spans="1:29" ht="15" customHeight="1">
      <c r="A31" s="405" t="s">
        <v>711</v>
      </c>
      <c r="B31" s="1067">
        <f>'4 bbb Önkorm'!BO31+'4 ba Polg Hiv'!BC35+'4 a Intézmények'!CD31</f>
        <v>224434000</v>
      </c>
      <c r="C31" s="1067">
        <f>'4 bbb Önkorm'!BP31+'4 ba Polg Hiv'!BD35+'4 a Intézmények'!CE31</f>
        <v>248372848</v>
      </c>
      <c r="D31" s="1091">
        <f>'4 bbb Önkorm'!BQ31+'4 ba Polg Hiv'!BE35+'4 a Intézmények'!CF31</f>
        <v>30383756</v>
      </c>
      <c r="E31" s="1013">
        <f>'4 bbb Önkorm'!BR31+'4 ba Polg Hiv'!BF35+'4 a Intézmények'!CG31</f>
        <v>288186562</v>
      </c>
      <c r="F31" s="1013">
        <f>'4 bbb Önkorm'!BS31+'4 ba Polg Hiv'!BG35+'4 a Intézmények'!CH31</f>
        <v>284784344</v>
      </c>
      <c r="G31" s="1099"/>
      <c r="H31" s="1094"/>
      <c r="I31" s="1084"/>
      <c r="J31" s="1099">
        <f t="shared" si="5"/>
        <v>0</v>
      </c>
      <c r="K31" s="1100"/>
      <c r="L31" s="1099"/>
      <c r="M31" s="1094"/>
      <c r="N31" s="1084"/>
      <c r="O31" s="1099">
        <f t="shared" si="6"/>
        <v>0</v>
      </c>
      <c r="P31" s="1099"/>
      <c r="Q31" s="1106">
        <f t="shared" si="7"/>
        <v>0</v>
      </c>
      <c r="R31" s="1106">
        <f t="shared" si="8"/>
        <v>0</v>
      </c>
      <c r="S31" s="1097">
        <f t="shared" si="9"/>
        <v>0</v>
      </c>
      <c r="T31" s="1013">
        <f t="shared" si="10"/>
        <v>0</v>
      </c>
      <c r="U31" s="1020"/>
      <c r="V31" s="1007">
        <f t="shared" si="11"/>
        <v>224434000</v>
      </c>
      <c r="W31" s="1007">
        <f t="shared" si="12"/>
        <v>248372848</v>
      </c>
      <c r="X31" s="1219">
        <f t="shared" si="13"/>
        <v>30383756</v>
      </c>
      <c r="Y31" s="916">
        <f t="shared" si="4"/>
        <v>288186562</v>
      </c>
      <c r="Z31" s="916">
        <f t="shared" si="4"/>
        <v>284784344</v>
      </c>
    </row>
    <row r="32" spans="1:29" ht="15" customHeight="1">
      <c r="A32" s="405" t="s">
        <v>712</v>
      </c>
      <c r="B32" s="1067">
        <f>'4 bbb Önkorm'!BO32+'4 ba Polg Hiv'!BC36+'4 a Intézmények'!CD32</f>
        <v>2000000</v>
      </c>
      <c r="C32" s="1067">
        <f>'4 bbb Önkorm'!BP32+'4 ba Polg Hiv'!BD36+'4 a Intézmények'!CE32</f>
        <v>2000000</v>
      </c>
      <c r="D32" s="1091">
        <f>'4 bbb Önkorm'!BQ32+'4 ba Polg Hiv'!BE36+'4 a Intézmények'!CF32</f>
        <v>0</v>
      </c>
      <c r="E32" s="1013">
        <f>'4 bbb Önkorm'!BR32+'4 ba Polg Hiv'!BF36+'4 a Intézmények'!CG32</f>
        <v>2000000</v>
      </c>
      <c r="F32" s="1013">
        <f>'4 bbb Önkorm'!BS32+'4 ba Polg Hiv'!BG36+'4 a Intézmények'!CH32</f>
        <v>0</v>
      </c>
      <c r="G32" s="1099"/>
      <c r="H32" s="1094"/>
      <c r="I32" s="1084"/>
      <c r="J32" s="1099">
        <f t="shared" si="5"/>
        <v>0</v>
      </c>
      <c r="K32" s="1100"/>
      <c r="L32" s="1099"/>
      <c r="M32" s="1094"/>
      <c r="N32" s="1084"/>
      <c r="O32" s="1099">
        <f t="shared" si="6"/>
        <v>0</v>
      </c>
      <c r="P32" s="1099"/>
      <c r="Q32" s="1106">
        <f t="shared" si="7"/>
        <v>0</v>
      </c>
      <c r="R32" s="1106">
        <f t="shared" si="8"/>
        <v>0</v>
      </c>
      <c r="S32" s="1097">
        <f t="shared" si="9"/>
        <v>0</v>
      </c>
      <c r="T32" s="1013">
        <f t="shared" si="10"/>
        <v>0</v>
      </c>
      <c r="U32" s="1020"/>
      <c r="V32" s="1007">
        <f t="shared" si="11"/>
        <v>2000000</v>
      </c>
      <c r="W32" s="1007">
        <f t="shared" si="12"/>
        <v>2000000</v>
      </c>
      <c r="X32" s="1219">
        <f t="shared" si="13"/>
        <v>0</v>
      </c>
      <c r="Y32" s="916">
        <f t="shared" si="4"/>
        <v>2000000</v>
      </c>
      <c r="Z32" s="916">
        <f t="shared" si="4"/>
        <v>0</v>
      </c>
    </row>
    <row r="33" spans="1:27" ht="15" customHeight="1">
      <c r="A33" s="405" t="s">
        <v>713</v>
      </c>
      <c r="B33" s="1067">
        <f>'4 bbb Önkorm'!BO33+'4 ba Polg Hiv'!BC37+'4 a Intézmények'!CD33</f>
        <v>50000000</v>
      </c>
      <c r="C33" s="1067">
        <f>'4 bbb Önkorm'!BP33+'4 ba Polg Hiv'!BD37+'4 a Intézmények'!CE33</f>
        <v>108418596</v>
      </c>
      <c r="D33" s="1091">
        <f>'4 bbb Önkorm'!BQ33+'4 ba Polg Hiv'!BE37+'4 a Intézmények'!CF33</f>
        <v>-12915563</v>
      </c>
      <c r="E33" s="1013">
        <f>'4 bbb Önkorm'!BR33+'4 ba Polg Hiv'!BF37+'4 a Intézmények'!CG33</f>
        <v>486924456</v>
      </c>
      <c r="F33" s="1013">
        <f>'4 bbb Önkorm'!BS33+'4 ba Polg Hiv'!BG37+'4 a Intézmények'!CH33</f>
        <v>0</v>
      </c>
      <c r="G33" s="1099"/>
      <c r="H33" s="1094"/>
      <c r="I33" s="1084"/>
      <c r="J33" s="1099">
        <f t="shared" si="5"/>
        <v>0</v>
      </c>
      <c r="K33" s="1100"/>
      <c r="L33" s="1099"/>
      <c r="M33" s="1094"/>
      <c r="N33" s="1084"/>
      <c r="O33" s="1099">
        <f t="shared" si="6"/>
        <v>0</v>
      </c>
      <c r="P33" s="1099"/>
      <c r="Q33" s="1106">
        <f t="shared" si="7"/>
        <v>0</v>
      </c>
      <c r="R33" s="1106">
        <f t="shared" si="8"/>
        <v>0</v>
      </c>
      <c r="S33" s="1097">
        <f t="shared" si="9"/>
        <v>0</v>
      </c>
      <c r="T33" s="1013">
        <f t="shared" si="10"/>
        <v>0</v>
      </c>
      <c r="U33" s="1020"/>
      <c r="V33" s="1007">
        <f t="shared" si="11"/>
        <v>50000000</v>
      </c>
      <c r="W33" s="1007">
        <f t="shared" si="12"/>
        <v>108418596</v>
      </c>
      <c r="X33" s="1219">
        <f t="shared" si="13"/>
        <v>-12915563</v>
      </c>
      <c r="Y33" s="916">
        <f t="shared" si="4"/>
        <v>486924456</v>
      </c>
      <c r="Z33" s="916">
        <f t="shared" si="4"/>
        <v>0</v>
      </c>
    </row>
    <row r="34" spans="1:27" ht="15" customHeight="1">
      <c r="A34" s="405" t="s">
        <v>714</v>
      </c>
      <c r="B34" s="1067">
        <f>'4 bbb Önkorm'!BO34+'4 ba Polg Hiv'!BC38+'4 a Intézmények'!CD34</f>
        <v>246090000</v>
      </c>
      <c r="C34" s="1067">
        <f>'4 bbb Önkorm'!BP34+'4 ba Polg Hiv'!BD38+'4 a Intézmények'!CE34</f>
        <v>1064615305</v>
      </c>
      <c r="D34" s="1091">
        <f>'4 bbb Önkorm'!BQ34+'4 ba Polg Hiv'!BE38+'4 a Intézmények'!CF34</f>
        <v>155399562</v>
      </c>
      <c r="E34" s="1013">
        <f>'4 bbb Önkorm'!BR34+'4 ba Polg Hiv'!BF38+'4 a Intézmények'!CG34</f>
        <v>1278172723</v>
      </c>
      <c r="F34" s="1013">
        <f>'4 bbb Önkorm'!BS34+'4 ba Polg Hiv'!BG38+'4 a Intézmények'!CH34</f>
        <v>0</v>
      </c>
      <c r="G34" s="1099"/>
      <c r="H34" s="1094"/>
      <c r="I34" s="1084"/>
      <c r="J34" s="1099">
        <f t="shared" si="5"/>
        <v>0</v>
      </c>
      <c r="K34" s="1100"/>
      <c r="L34" s="1099"/>
      <c r="M34" s="1094"/>
      <c r="N34" s="1084"/>
      <c r="O34" s="1099">
        <f t="shared" si="6"/>
        <v>0</v>
      </c>
      <c r="P34" s="1099"/>
      <c r="Q34" s="1106">
        <f t="shared" si="7"/>
        <v>0</v>
      </c>
      <c r="R34" s="1106">
        <f t="shared" si="8"/>
        <v>0</v>
      </c>
      <c r="S34" s="1097">
        <f t="shared" si="9"/>
        <v>0</v>
      </c>
      <c r="T34" s="1013">
        <f t="shared" si="10"/>
        <v>0</v>
      </c>
      <c r="U34" s="1020"/>
      <c r="V34" s="1007">
        <f t="shared" si="11"/>
        <v>246090000</v>
      </c>
      <c r="W34" s="1007">
        <f t="shared" si="12"/>
        <v>1064615305</v>
      </c>
      <c r="X34" s="1219">
        <f t="shared" si="13"/>
        <v>155399562</v>
      </c>
      <c r="Y34" s="916">
        <f t="shared" si="4"/>
        <v>1278172723</v>
      </c>
      <c r="Z34" s="916">
        <f t="shared" si="4"/>
        <v>0</v>
      </c>
    </row>
    <row r="35" spans="1:27" s="630" customFormat="1" ht="15" customHeight="1">
      <c r="A35" s="966" t="s">
        <v>715</v>
      </c>
      <c r="B35" s="1023">
        <f t="shared" ref="B35:Z35" si="14">SUM(B18:B34)</f>
        <v>12432786285</v>
      </c>
      <c r="C35" s="1023">
        <f t="shared" si="14"/>
        <v>13770161458</v>
      </c>
      <c r="D35" s="1023">
        <f t="shared" si="14"/>
        <v>175322595</v>
      </c>
      <c r="E35" s="1023">
        <f t="shared" si="14"/>
        <v>15080178868</v>
      </c>
      <c r="F35" s="1023">
        <f t="shared" si="14"/>
        <v>11710641427</v>
      </c>
      <c r="G35" s="1198">
        <f t="shared" si="14"/>
        <v>0</v>
      </c>
      <c r="H35" s="1198">
        <f t="shared" si="14"/>
        <v>0</v>
      </c>
      <c r="I35" s="1198">
        <f t="shared" si="14"/>
        <v>0</v>
      </c>
      <c r="J35" s="1198">
        <f t="shared" si="14"/>
        <v>0</v>
      </c>
      <c r="K35" s="1198">
        <f t="shared" si="14"/>
        <v>0</v>
      </c>
      <c r="L35" s="1198">
        <f t="shared" si="14"/>
        <v>0</v>
      </c>
      <c r="M35" s="1198">
        <f t="shared" si="14"/>
        <v>0</v>
      </c>
      <c r="N35" s="1198">
        <f t="shared" si="14"/>
        <v>0</v>
      </c>
      <c r="O35" s="1198">
        <f t="shared" si="14"/>
        <v>0</v>
      </c>
      <c r="P35" s="1198">
        <f t="shared" si="14"/>
        <v>0</v>
      </c>
      <c r="Q35" s="1023">
        <f t="shared" si="14"/>
        <v>0</v>
      </c>
      <c r="R35" s="1023">
        <f t="shared" si="14"/>
        <v>0</v>
      </c>
      <c r="S35" s="1023">
        <f t="shared" si="14"/>
        <v>0</v>
      </c>
      <c r="T35" s="1023">
        <f t="shared" si="14"/>
        <v>0</v>
      </c>
      <c r="U35" s="1023">
        <f t="shared" si="14"/>
        <v>0</v>
      </c>
      <c r="V35" s="1023">
        <f t="shared" si="14"/>
        <v>12432786285</v>
      </c>
      <c r="W35" s="1023">
        <f t="shared" si="14"/>
        <v>13770161458</v>
      </c>
      <c r="X35" s="1023">
        <f t="shared" si="14"/>
        <v>175322595</v>
      </c>
      <c r="Y35" s="1155">
        <f t="shared" si="14"/>
        <v>15080178868</v>
      </c>
      <c r="Z35" s="1155">
        <f t="shared" si="14"/>
        <v>11710641427</v>
      </c>
    </row>
    <row r="36" spans="1:27" ht="15" customHeight="1">
      <c r="A36" s="630" t="s">
        <v>26</v>
      </c>
      <c r="B36" s="1067">
        <f>'4 bbb Önkorm'!BO36+'4 ba Polg Hiv'!BC40+'4 a Intézmények'!CD36</f>
        <v>1767488000</v>
      </c>
      <c r="C36" s="1067">
        <f>'4 bbb Önkorm'!BP36+'4 ba Polg Hiv'!BD40+'4 a Intézmények'!CE36</f>
        <v>2064715824</v>
      </c>
      <c r="D36" s="1091">
        <f>'4 bbb Önkorm'!BQ36+'4 ba Polg Hiv'!BE40+'4 a Intézmények'!CF36</f>
        <v>41253661</v>
      </c>
      <c r="E36" s="1013">
        <f>'4 bbb Önkorm'!BR36+'4 ba Polg Hiv'!BF40+'4 a Intézmények'!CG36</f>
        <v>1897363768</v>
      </c>
      <c r="F36" s="1013">
        <f>'4 bbb Önkorm'!BS36+'4 ba Polg Hiv'!BG40+'4 a Intézmények'!CH36</f>
        <v>989396462</v>
      </c>
      <c r="G36" s="1099"/>
      <c r="H36" s="1094"/>
      <c r="I36" s="1084"/>
      <c r="J36" s="1099">
        <f t="shared" ref="J36:J44" si="15">SUM(H36+I36)</f>
        <v>0</v>
      </c>
      <c r="K36" s="1100"/>
      <c r="L36" s="1099"/>
      <c r="M36" s="1094"/>
      <c r="N36" s="1084"/>
      <c r="O36" s="1099">
        <f t="shared" ref="O36:O44" si="16">SUM(M36+N36)</f>
        <v>0</v>
      </c>
      <c r="P36" s="1099"/>
      <c r="Q36" s="1106">
        <f t="shared" ref="Q36:Q44" si="17">G36+L36</f>
        <v>0</v>
      </c>
      <c r="R36" s="1106">
        <f t="shared" ref="R36:R44" si="18">H36+M36</f>
        <v>0</v>
      </c>
      <c r="S36" s="1097">
        <f t="shared" ref="S36:S44" si="19">I36+N36</f>
        <v>0</v>
      </c>
      <c r="T36" s="1013">
        <f t="shared" ref="T36:T44" si="20">SUM(R36+S36)</f>
        <v>0</v>
      </c>
      <c r="U36" s="1020"/>
      <c r="V36" s="1007">
        <f t="shared" ref="V36:V44" si="21">B36+Q36</f>
        <v>1767488000</v>
      </c>
      <c r="W36" s="1007">
        <f t="shared" ref="W36:W44" si="22">C36+R36</f>
        <v>2064715824</v>
      </c>
      <c r="X36" s="1219">
        <f t="shared" ref="X36:X44" si="23">D36+S36</f>
        <v>41253661</v>
      </c>
      <c r="Y36" s="916">
        <f t="shared" ref="Y36:Z44" si="24">E36+T36</f>
        <v>1897363768</v>
      </c>
      <c r="Z36" s="916">
        <f t="shared" si="24"/>
        <v>989396462</v>
      </c>
    </row>
    <row r="37" spans="1:27" ht="15" customHeight="1">
      <c r="A37" s="405" t="s">
        <v>28</v>
      </c>
      <c r="B37" s="1067">
        <f>'4 bbb Önkorm'!BO37+'4 ba Polg Hiv'!BC41+'4 a Intézmények'!CD37</f>
        <v>1974613000</v>
      </c>
      <c r="C37" s="1067">
        <f>'4 bbb Önkorm'!BP37+'4 ba Polg Hiv'!BD41+'4 a Intézmények'!CE37</f>
        <v>2099587219</v>
      </c>
      <c r="D37" s="1091">
        <f>'4 bbb Önkorm'!BQ37+'4 ba Polg Hiv'!BE41+'4 a Intézmények'!CF37</f>
        <v>-194847940</v>
      </c>
      <c r="E37" s="1013">
        <f>'4 bbb Önkorm'!BR37+'4 ba Polg Hiv'!BF41+'4 a Intézmények'!CG37</f>
        <v>1888467205</v>
      </c>
      <c r="F37" s="1013">
        <f>'4 bbb Önkorm'!BS37+'4 ba Polg Hiv'!BG41+'4 a Intézmények'!CH37</f>
        <v>1781245354</v>
      </c>
      <c r="G37" s="1099"/>
      <c r="H37" s="1094"/>
      <c r="I37" s="1084"/>
      <c r="J37" s="1099">
        <f t="shared" si="15"/>
        <v>0</v>
      </c>
      <c r="K37" s="1100"/>
      <c r="L37" s="1099"/>
      <c r="M37" s="1094"/>
      <c r="N37" s="1084"/>
      <c r="O37" s="1099">
        <f t="shared" si="16"/>
        <v>0</v>
      </c>
      <c r="P37" s="1099"/>
      <c r="Q37" s="1106">
        <f t="shared" si="17"/>
        <v>0</v>
      </c>
      <c r="R37" s="1106">
        <f t="shared" si="18"/>
        <v>0</v>
      </c>
      <c r="S37" s="1097">
        <f t="shared" si="19"/>
        <v>0</v>
      </c>
      <c r="T37" s="1013">
        <f t="shared" si="20"/>
        <v>0</v>
      </c>
      <c r="U37" s="1020"/>
      <c r="V37" s="1007">
        <f t="shared" si="21"/>
        <v>1974613000</v>
      </c>
      <c r="W37" s="1007">
        <f t="shared" si="22"/>
        <v>2099587219</v>
      </c>
      <c r="X37" s="1219">
        <f t="shared" si="23"/>
        <v>-194847940</v>
      </c>
      <c r="Y37" s="916">
        <f t="shared" si="24"/>
        <v>1888467205</v>
      </c>
      <c r="Z37" s="916">
        <f t="shared" si="24"/>
        <v>1781245354</v>
      </c>
    </row>
    <row r="38" spans="1:27" ht="34.5" hidden="1" customHeight="1">
      <c r="A38" s="630" t="s">
        <v>30</v>
      </c>
      <c r="B38" s="1067">
        <f>'4 bbb Önkorm'!BO38+'4 ba Polg Hiv'!BC42+'4 a Intézmények'!CD38</f>
        <v>0</v>
      </c>
      <c r="C38" s="1067">
        <f>'4 bbb Önkorm'!BP38+'4 ba Polg Hiv'!BD42+'4 a Intézmények'!CE38</f>
        <v>0</v>
      </c>
      <c r="D38" s="1091">
        <f>'4 bbb Önkorm'!BQ38+'4 ba Polg Hiv'!BE42+'4 a Intézmények'!CF38</f>
        <v>0</v>
      </c>
      <c r="E38" s="1013">
        <f>'4 bbb Önkorm'!BR38+'4 ba Polg Hiv'!BF42+'4 a Intézmények'!CG38</f>
        <v>0</v>
      </c>
      <c r="F38" s="1013">
        <f>'4 bbb Önkorm'!BS38+'4 ba Polg Hiv'!BG42+'4 a Intézmények'!CH38</f>
        <v>0</v>
      </c>
      <c r="G38" s="1099"/>
      <c r="H38" s="1094"/>
      <c r="I38" s="1084"/>
      <c r="J38" s="1099">
        <f t="shared" si="15"/>
        <v>0</v>
      </c>
      <c r="K38" s="1100"/>
      <c r="L38" s="1099"/>
      <c r="M38" s="1094"/>
      <c r="N38" s="1084"/>
      <c r="O38" s="1099">
        <f t="shared" si="16"/>
        <v>0</v>
      </c>
      <c r="P38" s="1099"/>
      <c r="Q38" s="1106">
        <f t="shared" si="17"/>
        <v>0</v>
      </c>
      <c r="R38" s="1106">
        <f t="shared" si="18"/>
        <v>0</v>
      </c>
      <c r="S38" s="1097">
        <f t="shared" si="19"/>
        <v>0</v>
      </c>
      <c r="T38" s="1013">
        <f t="shared" si="20"/>
        <v>0</v>
      </c>
      <c r="U38" s="1020"/>
      <c r="V38" s="1007">
        <f t="shared" si="21"/>
        <v>0</v>
      </c>
      <c r="W38" s="1007">
        <f t="shared" si="22"/>
        <v>0</v>
      </c>
      <c r="X38" s="1219">
        <f t="shared" si="23"/>
        <v>0</v>
      </c>
      <c r="Y38" s="916">
        <f t="shared" si="24"/>
        <v>0</v>
      </c>
      <c r="Z38" s="916">
        <f t="shared" si="24"/>
        <v>0</v>
      </c>
    </row>
    <row r="39" spans="1:27" ht="15" customHeight="1">
      <c r="A39" s="405" t="s">
        <v>716</v>
      </c>
      <c r="B39" s="1067">
        <f>'4 bbb Önkorm'!BO39+'4 ba Polg Hiv'!BC43+'4 a Intézmények'!CD39</f>
        <v>5923000</v>
      </c>
      <c r="C39" s="1067">
        <f>'4 bbb Önkorm'!BP39+'4 ba Polg Hiv'!BD43+'4 a Intézmények'!CE39</f>
        <v>5923000</v>
      </c>
      <c r="D39" s="1091">
        <f>'4 bbb Önkorm'!BQ39+'4 ba Polg Hiv'!BE43+'4 a Intézmények'!CF39</f>
        <v>0</v>
      </c>
      <c r="E39" s="1013">
        <f>'4 bbb Önkorm'!BR39+'4 ba Polg Hiv'!BF43+'4 a Intézmények'!CG39</f>
        <v>9223028</v>
      </c>
      <c r="F39" s="1013">
        <f>'4 bbb Önkorm'!BS39+'4 ba Polg Hiv'!BG43+'4 a Intézmények'!CH39</f>
        <v>3300000</v>
      </c>
      <c r="G39" s="1099"/>
      <c r="H39" s="1094"/>
      <c r="I39" s="1084"/>
      <c r="J39" s="1099">
        <f t="shared" si="15"/>
        <v>0</v>
      </c>
      <c r="K39" s="1100"/>
      <c r="L39" s="1099"/>
      <c r="M39" s="1094"/>
      <c r="N39" s="1084"/>
      <c r="O39" s="1099">
        <f t="shared" si="16"/>
        <v>0</v>
      </c>
      <c r="P39" s="1099"/>
      <c r="Q39" s="1106">
        <f t="shared" si="17"/>
        <v>0</v>
      </c>
      <c r="R39" s="1106">
        <f t="shared" si="18"/>
        <v>0</v>
      </c>
      <c r="S39" s="1097">
        <f t="shared" si="19"/>
        <v>0</v>
      </c>
      <c r="T39" s="1013">
        <f t="shared" si="20"/>
        <v>0</v>
      </c>
      <c r="U39" s="1020"/>
      <c r="V39" s="1007">
        <f t="shared" si="21"/>
        <v>5923000</v>
      </c>
      <c r="W39" s="1007">
        <f t="shared" si="22"/>
        <v>5923000</v>
      </c>
      <c r="X39" s="1219">
        <f t="shared" si="23"/>
        <v>0</v>
      </c>
      <c r="Y39" s="916">
        <f t="shared" si="24"/>
        <v>9223028</v>
      </c>
      <c r="Z39" s="916">
        <f t="shared" si="24"/>
        <v>3300000</v>
      </c>
    </row>
    <row r="40" spans="1:27" ht="15" customHeight="1">
      <c r="A40" s="405" t="s">
        <v>717</v>
      </c>
      <c r="B40" s="1067">
        <f>'4 bbb Önkorm'!BO40+'4 ba Polg Hiv'!BC44+'4 a Intézmények'!CD40</f>
        <v>0</v>
      </c>
      <c r="C40" s="1067">
        <f>'4 bbb Önkorm'!BP40+'4 ba Polg Hiv'!BD44+'4 a Intézmények'!CE40</f>
        <v>0</v>
      </c>
      <c r="D40" s="1091">
        <f>'4 bbb Önkorm'!BQ40+'4 ba Polg Hiv'!BE44+'4 a Intézmények'!CF40</f>
        <v>0</v>
      </c>
      <c r="E40" s="1013">
        <f>'4 bbb Önkorm'!BR40+'4 ba Polg Hiv'!BF44+'4 a Intézmények'!CG40</f>
        <v>0</v>
      </c>
      <c r="F40" s="1013">
        <f>'4 bbb Önkorm'!BS40+'4 ba Polg Hiv'!BG44+'4 a Intézmények'!CH40</f>
        <v>0</v>
      </c>
      <c r="G40" s="1099"/>
      <c r="H40" s="1094"/>
      <c r="I40" s="1084"/>
      <c r="J40" s="1099">
        <f t="shared" si="15"/>
        <v>0</v>
      </c>
      <c r="K40" s="1100"/>
      <c r="L40" s="1099"/>
      <c r="M40" s="1094"/>
      <c r="N40" s="1084"/>
      <c r="O40" s="1099">
        <f t="shared" si="16"/>
        <v>0</v>
      </c>
      <c r="P40" s="1099"/>
      <c r="Q40" s="1106">
        <f t="shared" si="17"/>
        <v>0</v>
      </c>
      <c r="R40" s="1106">
        <f t="shared" si="18"/>
        <v>0</v>
      </c>
      <c r="S40" s="1097">
        <f t="shared" si="19"/>
        <v>0</v>
      </c>
      <c r="T40" s="1013">
        <f t="shared" si="20"/>
        <v>0</v>
      </c>
      <c r="U40" s="1020"/>
      <c r="V40" s="1007">
        <f t="shared" si="21"/>
        <v>0</v>
      </c>
      <c r="W40" s="1007">
        <f t="shared" si="22"/>
        <v>0</v>
      </c>
      <c r="X40" s="1219">
        <f t="shared" si="23"/>
        <v>0</v>
      </c>
      <c r="Y40" s="916">
        <f t="shared" si="24"/>
        <v>0</v>
      </c>
      <c r="Z40" s="916">
        <f t="shared" si="24"/>
        <v>0</v>
      </c>
    </row>
    <row r="41" spans="1:27" ht="15" customHeight="1">
      <c r="A41" s="405" t="s">
        <v>718</v>
      </c>
      <c r="B41" s="1067">
        <f>'4 bbb Önkorm'!BO41+'4 ba Polg Hiv'!BC45+'4 a Intézmények'!CD41</f>
        <v>10680000</v>
      </c>
      <c r="C41" s="1067">
        <f>'4 bbb Önkorm'!BP41+'4 ba Polg Hiv'!BD45+'4 a Intézmények'!CE41</f>
        <v>14680000</v>
      </c>
      <c r="D41" s="1091">
        <f>'4 bbb Önkorm'!BQ41+'4 ba Polg Hiv'!BE45+'4 a Intézmények'!CF41</f>
        <v>10800000</v>
      </c>
      <c r="E41" s="1013">
        <f>'4 bbb Önkorm'!BR41+'4 ba Polg Hiv'!BF45+'4 a Intézmények'!CG41</f>
        <v>81803000</v>
      </c>
      <c r="F41" s="1013">
        <f>'4 bbb Önkorm'!BS41+'4 ba Polg Hiv'!BG45+'4 a Intézmények'!CH41</f>
        <v>62576377</v>
      </c>
      <c r="G41" s="1099"/>
      <c r="H41" s="1094"/>
      <c r="I41" s="1084"/>
      <c r="J41" s="1099">
        <f t="shared" si="15"/>
        <v>0</v>
      </c>
      <c r="K41" s="1100"/>
      <c r="L41" s="1099"/>
      <c r="M41" s="1094"/>
      <c r="N41" s="1084"/>
      <c r="O41" s="1099">
        <f t="shared" si="16"/>
        <v>0</v>
      </c>
      <c r="P41" s="1099"/>
      <c r="Q41" s="1106">
        <f t="shared" si="17"/>
        <v>0</v>
      </c>
      <c r="R41" s="1106">
        <f t="shared" si="18"/>
        <v>0</v>
      </c>
      <c r="S41" s="1097">
        <f t="shared" si="19"/>
        <v>0</v>
      </c>
      <c r="T41" s="1013">
        <f t="shared" si="20"/>
        <v>0</v>
      </c>
      <c r="U41" s="1020"/>
      <c r="V41" s="1007">
        <f t="shared" si="21"/>
        <v>10680000</v>
      </c>
      <c r="W41" s="1007">
        <f t="shared" si="22"/>
        <v>14680000</v>
      </c>
      <c r="X41" s="1219">
        <f t="shared" si="23"/>
        <v>10800000</v>
      </c>
      <c r="Y41" s="916">
        <f t="shared" si="24"/>
        <v>81803000</v>
      </c>
      <c r="Z41" s="916">
        <f t="shared" si="24"/>
        <v>62576377</v>
      </c>
    </row>
    <row r="42" spans="1:27" s="630" customFormat="1" ht="15" customHeight="1">
      <c r="A42" s="405" t="s">
        <v>719</v>
      </c>
      <c r="B42" s="1067">
        <f>'4 bbb Önkorm'!BO42+'4 ba Polg Hiv'!BC46+'4 a Intézmények'!CD42</f>
        <v>112972000</v>
      </c>
      <c r="C42" s="1067">
        <f>'4 bbb Önkorm'!BP42+'4 ba Polg Hiv'!BD46+'4 a Intézmények'!CE42</f>
        <v>112972000</v>
      </c>
      <c r="D42" s="1091">
        <f>'4 bbb Önkorm'!BQ42+'4 ba Polg Hiv'!BE46+'4 a Intézmények'!CF42</f>
        <v>0</v>
      </c>
      <c r="E42" s="1013">
        <f>'4 bbb Önkorm'!BR42+'4 ba Polg Hiv'!BF46+'4 a Intézmények'!CG42</f>
        <v>92972040</v>
      </c>
      <c r="F42" s="1013">
        <f>'4 bbb Önkorm'!BS42+'4 ba Polg Hiv'!BG46+'4 a Intézmények'!CH42</f>
        <v>51544166</v>
      </c>
      <c r="G42" s="1099"/>
      <c r="H42" s="1094"/>
      <c r="I42" s="1084"/>
      <c r="J42" s="1099">
        <f t="shared" si="15"/>
        <v>0</v>
      </c>
      <c r="K42" s="1100"/>
      <c r="L42" s="1099"/>
      <c r="M42" s="1094"/>
      <c r="N42" s="1084"/>
      <c r="O42" s="1099">
        <f t="shared" si="16"/>
        <v>0</v>
      </c>
      <c r="P42" s="1099"/>
      <c r="Q42" s="1106">
        <f t="shared" si="17"/>
        <v>0</v>
      </c>
      <c r="R42" s="1106">
        <f t="shared" si="18"/>
        <v>0</v>
      </c>
      <c r="S42" s="1097">
        <f t="shared" si="19"/>
        <v>0</v>
      </c>
      <c r="T42" s="1013">
        <f t="shared" si="20"/>
        <v>0</v>
      </c>
      <c r="U42" s="1020"/>
      <c r="V42" s="1007">
        <f t="shared" si="21"/>
        <v>112972000</v>
      </c>
      <c r="W42" s="1007">
        <f t="shared" si="22"/>
        <v>112972000</v>
      </c>
      <c r="X42" s="1219">
        <f t="shared" si="23"/>
        <v>0</v>
      </c>
      <c r="Y42" s="916">
        <f t="shared" si="24"/>
        <v>92972040</v>
      </c>
      <c r="Z42" s="916">
        <f t="shared" si="24"/>
        <v>51544166</v>
      </c>
    </row>
    <row r="43" spans="1:27" ht="14.25" customHeight="1">
      <c r="A43" s="455" t="s">
        <v>720</v>
      </c>
      <c r="B43" s="1067">
        <f>'4 bbb Önkorm'!BO43+'4 ba Polg Hiv'!BC47+'4 a Intézmények'!CD43</f>
        <v>9000000</v>
      </c>
      <c r="C43" s="1067">
        <f>'4 bbb Önkorm'!BP43+'4 ba Polg Hiv'!BD47+'4 a Intézmények'!CE43</f>
        <v>9000000</v>
      </c>
      <c r="D43" s="1091">
        <f>'4 bbb Önkorm'!BQ43+'4 ba Polg Hiv'!BE47+'4 a Intézmények'!CF43</f>
        <v>0</v>
      </c>
      <c r="E43" s="1013">
        <f>'4 bbb Önkorm'!BR43+'4 ba Polg Hiv'!BF47+'4 a Intézmények'!CG43</f>
        <v>9000000</v>
      </c>
      <c r="F43" s="1013">
        <f>'4 bbb Önkorm'!BS43+'4 ba Polg Hiv'!BG47+'4 a Intézmények'!CH43</f>
        <v>1080000</v>
      </c>
      <c r="G43" s="1099"/>
      <c r="H43" s="1094"/>
      <c r="I43" s="1084"/>
      <c r="J43" s="1099">
        <f t="shared" si="15"/>
        <v>0</v>
      </c>
      <c r="K43" s="1100"/>
      <c r="L43" s="1099"/>
      <c r="M43" s="1094"/>
      <c r="N43" s="1084"/>
      <c r="O43" s="1099">
        <f t="shared" si="16"/>
        <v>0</v>
      </c>
      <c r="P43" s="1099"/>
      <c r="Q43" s="1106">
        <f t="shared" si="17"/>
        <v>0</v>
      </c>
      <c r="R43" s="1106">
        <f t="shared" si="18"/>
        <v>0</v>
      </c>
      <c r="S43" s="1097">
        <f t="shared" si="19"/>
        <v>0</v>
      </c>
      <c r="T43" s="1013">
        <f t="shared" si="20"/>
        <v>0</v>
      </c>
      <c r="U43" s="1020"/>
      <c r="V43" s="1007">
        <f t="shared" si="21"/>
        <v>9000000</v>
      </c>
      <c r="W43" s="1007">
        <f t="shared" si="22"/>
        <v>9000000</v>
      </c>
      <c r="X43" s="1219">
        <f t="shared" si="23"/>
        <v>0</v>
      </c>
      <c r="Y43" s="916">
        <f t="shared" si="24"/>
        <v>9000000</v>
      </c>
      <c r="Z43" s="916">
        <f t="shared" si="24"/>
        <v>1080000</v>
      </c>
      <c r="AA43" s="415"/>
    </row>
    <row r="44" spans="1:27" ht="15" customHeight="1">
      <c r="A44" s="455" t="s">
        <v>721</v>
      </c>
      <c r="B44" s="1067">
        <f>'4 bbb Önkorm'!BO44+'4 ba Polg Hiv'!BC48+'4 a Intézmények'!CD44</f>
        <v>36000000</v>
      </c>
      <c r="C44" s="1067">
        <f>'4 bbb Önkorm'!BP44+'4 ba Polg Hiv'!BD48+'4 a Intézmények'!CE44</f>
        <v>36000000</v>
      </c>
      <c r="D44" s="1091">
        <f>'4 bbb Önkorm'!BQ44+'4 ba Polg Hiv'!BE48+'4 a Intézmények'!CF44</f>
        <v>0</v>
      </c>
      <c r="E44" s="1013">
        <f>'4 bbb Önkorm'!BR44+'4 ba Polg Hiv'!BF48+'4 a Intézmények'!CG44</f>
        <v>1000000</v>
      </c>
      <c r="F44" s="1013">
        <f>'4 bbb Önkorm'!BS44+'4 ba Polg Hiv'!BG48+'4 a Intézmények'!CH44</f>
        <v>0</v>
      </c>
      <c r="G44" s="1099"/>
      <c r="H44" s="1094"/>
      <c r="I44" s="1084"/>
      <c r="J44" s="1099">
        <f t="shared" si="15"/>
        <v>0</v>
      </c>
      <c r="K44" s="1100"/>
      <c r="L44" s="1099"/>
      <c r="M44" s="1094"/>
      <c r="N44" s="1084"/>
      <c r="O44" s="1099">
        <f t="shared" si="16"/>
        <v>0</v>
      </c>
      <c r="P44" s="1099"/>
      <c r="Q44" s="1106">
        <f t="shared" si="17"/>
        <v>0</v>
      </c>
      <c r="R44" s="1106">
        <f t="shared" si="18"/>
        <v>0</v>
      </c>
      <c r="S44" s="1097">
        <f t="shared" si="19"/>
        <v>0</v>
      </c>
      <c r="T44" s="1013">
        <f t="shared" si="20"/>
        <v>0</v>
      </c>
      <c r="U44" s="1020"/>
      <c r="V44" s="1007">
        <f t="shared" si="21"/>
        <v>36000000</v>
      </c>
      <c r="W44" s="1007">
        <f t="shared" si="22"/>
        <v>36000000</v>
      </c>
      <c r="X44" s="1219">
        <f t="shared" si="23"/>
        <v>0</v>
      </c>
      <c r="Y44" s="916">
        <f t="shared" si="24"/>
        <v>1000000</v>
      </c>
      <c r="Z44" s="916">
        <f t="shared" si="24"/>
        <v>0</v>
      </c>
      <c r="AA44" s="415"/>
    </row>
    <row r="45" spans="1:27" s="630" customFormat="1" ht="15" customHeight="1">
      <c r="A45" s="1022" t="s">
        <v>722</v>
      </c>
      <c r="B45" s="1220">
        <f t="shared" ref="B45:Z45" si="25">SUM(B36:B44)</f>
        <v>3916676000</v>
      </c>
      <c r="C45" s="1220">
        <f t="shared" si="25"/>
        <v>4342878043</v>
      </c>
      <c r="D45" s="1220">
        <f t="shared" si="25"/>
        <v>-142794279</v>
      </c>
      <c r="E45" s="1220">
        <f t="shared" si="25"/>
        <v>3979829041</v>
      </c>
      <c r="F45" s="1220">
        <f t="shared" si="25"/>
        <v>2889142359</v>
      </c>
      <c r="G45" s="1221">
        <f t="shared" si="25"/>
        <v>0</v>
      </c>
      <c r="H45" s="1221">
        <f t="shared" si="25"/>
        <v>0</v>
      </c>
      <c r="I45" s="1221">
        <f t="shared" si="25"/>
        <v>0</v>
      </c>
      <c r="J45" s="1221">
        <f t="shared" si="25"/>
        <v>0</v>
      </c>
      <c r="K45" s="1221">
        <f t="shared" si="25"/>
        <v>0</v>
      </c>
      <c r="L45" s="1221">
        <f t="shared" si="25"/>
        <v>0</v>
      </c>
      <c r="M45" s="1221">
        <f t="shared" si="25"/>
        <v>0</v>
      </c>
      <c r="N45" s="1221">
        <f t="shared" si="25"/>
        <v>0</v>
      </c>
      <c r="O45" s="1221">
        <f t="shared" si="25"/>
        <v>0</v>
      </c>
      <c r="P45" s="1221">
        <f t="shared" si="25"/>
        <v>0</v>
      </c>
      <c r="Q45" s="1220">
        <f t="shared" si="25"/>
        <v>0</v>
      </c>
      <c r="R45" s="1220">
        <f t="shared" si="25"/>
        <v>0</v>
      </c>
      <c r="S45" s="1220">
        <f t="shared" si="25"/>
        <v>0</v>
      </c>
      <c r="T45" s="1220">
        <f t="shared" si="25"/>
        <v>0</v>
      </c>
      <c r="U45" s="1220">
        <f t="shared" si="25"/>
        <v>0</v>
      </c>
      <c r="V45" s="1220">
        <f t="shared" si="25"/>
        <v>3916676000</v>
      </c>
      <c r="W45" s="1220">
        <f t="shared" si="25"/>
        <v>4342878043</v>
      </c>
      <c r="X45" s="1220">
        <f t="shared" si="25"/>
        <v>-142794279</v>
      </c>
      <c r="Y45" s="1220">
        <f t="shared" si="25"/>
        <v>3979829041</v>
      </c>
      <c r="Z45" s="1220">
        <f t="shared" si="25"/>
        <v>2889142359</v>
      </c>
    </row>
    <row r="46" spans="1:27" s="630" customFormat="1" ht="15" customHeight="1">
      <c r="A46" s="966" t="s">
        <v>723</v>
      </c>
      <c r="B46" s="1023">
        <f t="shared" ref="B46:Z46" si="26">B45+B35</f>
        <v>16349462285</v>
      </c>
      <c r="C46" s="1023">
        <f t="shared" si="26"/>
        <v>18113039501</v>
      </c>
      <c r="D46" s="1024">
        <f t="shared" si="26"/>
        <v>32528316</v>
      </c>
      <c r="E46" s="1023">
        <f t="shared" si="26"/>
        <v>19060007909</v>
      </c>
      <c r="F46" s="1023">
        <f t="shared" si="26"/>
        <v>14599783786</v>
      </c>
      <c r="G46" s="1023">
        <f t="shared" si="26"/>
        <v>0</v>
      </c>
      <c r="H46" s="1023">
        <f t="shared" si="26"/>
        <v>0</v>
      </c>
      <c r="I46" s="1024">
        <f t="shared" si="26"/>
        <v>0</v>
      </c>
      <c r="J46" s="1023">
        <f t="shared" si="26"/>
        <v>0</v>
      </c>
      <c r="K46" s="1024">
        <f t="shared" si="26"/>
        <v>0</v>
      </c>
      <c r="L46" s="1023">
        <f t="shared" si="26"/>
        <v>0</v>
      </c>
      <c r="M46" s="1023">
        <f t="shared" si="26"/>
        <v>0</v>
      </c>
      <c r="N46" s="1024">
        <f t="shared" si="26"/>
        <v>0</v>
      </c>
      <c r="O46" s="1023">
        <f t="shared" si="26"/>
        <v>0</v>
      </c>
      <c r="P46" s="1023">
        <f t="shared" si="26"/>
        <v>0</v>
      </c>
      <c r="Q46" s="1023">
        <f t="shared" si="26"/>
        <v>0</v>
      </c>
      <c r="R46" s="1023">
        <f t="shared" si="26"/>
        <v>0</v>
      </c>
      <c r="S46" s="1024">
        <f t="shared" si="26"/>
        <v>0</v>
      </c>
      <c r="T46" s="1023">
        <f t="shared" si="26"/>
        <v>0</v>
      </c>
      <c r="U46" s="1024">
        <f t="shared" si="26"/>
        <v>0</v>
      </c>
      <c r="V46" s="1023">
        <f t="shared" si="26"/>
        <v>16349462285</v>
      </c>
      <c r="W46" s="1023">
        <f t="shared" si="26"/>
        <v>18113039501</v>
      </c>
      <c r="X46" s="1024">
        <f t="shared" si="26"/>
        <v>32528316</v>
      </c>
      <c r="Y46" s="1023">
        <f t="shared" si="26"/>
        <v>19060007909</v>
      </c>
      <c r="Z46" s="1023">
        <f t="shared" si="26"/>
        <v>14599783786</v>
      </c>
    </row>
    <row r="47" spans="1:27" ht="15.75" hidden="1" customHeight="1">
      <c r="A47" s="405" t="s">
        <v>724</v>
      </c>
      <c r="B47" s="1067">
        <f>'4 bbb Önkorm'!BO47+'4 ba Polg Hiv'!BC51+'4 a Intézmények'!CD47</f>
        <v>0</v>
      </c>
      <c r="C47" s="1067">
        <f>'4 bbb Önkorm'!BP47+'4 ba Polg Hiv'!BD51+'4 a Intézmények'!CE47</f>
        <v>0</v>
      </c>
      <c r="D47" s="1091">
        <f>'4 bbb Önkorm'!BQ47+'4 ba Polg Hiv'!BE51+'4 a Intézmények'!CF47</f>
        <v>0</v>
      </c>
      <c r="E47" s="1013">
        <f>SUM(C47+D47)</f>
        <v>0</v>
      </c>
      <c r="F47" s="1020"/>
      <c r="G47" s="1099"/>
      <c r="H47" s="1094"/>
      <c r="I47" s="1084"/>
      <c r="J47" s="1099">
        <f t="shared" ref="J47:J54" si="27">SUM(H47+I47)</f>
        <v>0</v>
      </c>
      <c r="K47" s="1100"/>
      <c r="L47" s="1099"/>
      <c r="M47" s="1094"/>
      <c r="N47" s="1084"/>
      <c r="O47" s="1099">
        <f t="shared" ref="O47:O54" si="28">SUM(M47+N47)</f>
        <v>0</v>
      </c>
      <c r="P47" s="1099"/>
      <c r="Q47" s="1013"/>
      <c r="R47" s="1106">
        <f t="shared" ref="R47:R59" si="29">H47+M47</f>
        <v>0</v>
      </c>
      <c r="S47" s="1218">
        <f t="shared" ref="S47:S59" si="30">I47+N47</f>
        <v>0</v>
      </c>
      <c r="T47" s="1013">
        <f t="shared" ref="T47:T54" si="31">SUM(R47+S47)</f>
        <v>0</v>
      </c>
      <c r="U47" s="1020"/>
      <c r="V47" s="1013"/>
      <c r="W47" s="1007">
        <f t="shared" ref="W47:W59" si="32">C47+R47</f>
        <v>0</v>
      </c>
      <c r="X47" s="1197">
        <f t="shared" ref="X47:X59" si="33">D47+S47</f>
        <v>0</v>
      </c>
      <c r="Y47" s="1013">
        <f>SUM(W47+X47)</f>
        <v>0</v>
      </c>
    </row>
    <row r="48" spans="1:27" ht="16.5" hidden="1" customHeight="1">
      <c r="A48" s="405" t="s">
        <v>725</v>
      </c>
      <c r="B48" s="1067">
        <f>'4 bbb Önkorm'!BO48+'4 ba Polg Hiv'!BC52+'4 a Intézmények'!CD48</f>
        <v>0</v>
      </c>
      <c r="C48" s="1067">
        <f>'4 bbb Önkorm'!BP48+'4 ba Polg Hiv'!BD52+'4 a Intézmények'!CE48</f>
        <v>0</v>
      </c>
      <c r="D48" s="1091">
        <f>'4 bbb Önkorm'!BQ48+'4 ba Polg Hiv'!BE52+'4 a Intézmények'!CF48</f>
        <v>0</v>
      </c>
      <c r="E48" s="1013">
        <f>SUM(C48+D48)</f>
        <v>0</v>
      </c>
      <c r="F48" s="1020"/>
      <c r="G48" s="1099"/>
      <c r="H48" s="1094"/>
      <c r="I48" s="1084"/>
      <c r="J48" s="1099">
        <f t="shared" si="27"/>
        <v>0</v>
      </c>
      <c r="K48" s="1100"/>
      <c r="L48" s="1099"/>
      <c r="M48" s="1094"/>
      <c r="N48" s="1084"/>
      <c r="O48" s="1099">
        <f t="shared" si="28"/>
        <v>0</v>
      </c>
      <c r="P48" s="1099"/>
      <c r="Q48" s="1013"/>
      <c r="R48" s="1106">
        <f t="shared" si="29"/>
        <v>0</v>
      </c>
      <c r="S48" s="1218">
        <f t="shared" si="30"/>
        <v>0</v>
      </c>
      <c r="T48" s="1013">
        <f t="shared" si="31"/>
        <v>0</v>
      </c>
      <c r="U48" s="1020"/>
      <c r="V48" s="1013"/>
      <c r="W48" s="1007">
        <f t="shared" si="32"/>
        <v>0</v>
      </c>
      <c r="X48" s="1197">
        <f t="shared" si="33"/>
        <v>0</v>
      </c>
      <c r="Y48" s="1013">
        <f>SUM(W48+X48)</f>
        <v>0</v>
      </c>
    </row>
    <row r="49" spans="1:29" ht="15" customHeight="1">
      <c r="A49" s="405" t="s">
        <v>726</v>
      </c>
      <c r="B49" s="1067">
        <f>'4 bbb Önkorm'!BO49+'4 ba Polg Hiv'!BC53+'4 a Intézmények'!CD49</f>
        <v>0</v>
      </c>
      <c r="C49" s="1067">
        <f>'4 bbb Önkorm'!BP49+'4 ba Polg Hiv'!BD53+'4 a Intézmények'!CE49</f>
        <v>0</v>
      </c>
      <c r="D49" s="1091">
        <f>'4 bbb Önkorm'!BQ49+'4 ba Polg Hiv'!BE53+'4 a Intézmények'!CF49</f>
        <v>0</v>
      </c>
      <c r="E49" s="1013">
        <f>'4 bbb Önkorm'!BR49+'4 ba Polg Hiv'!BF53+'4 a Intézmények'!CG49</f>
        <v>0</v>
      </c>
      <c r="F49" s="1013">
        <f>'4 bbb Önkorm'!BS49+'4 ba Polg Hiv'!BG53+'4 a Intézmények'!CH49</f>
        <v>0</v>
      </c>
      <c r="G49" s="1099"/>
      <c r="H49" s="1094"/>
      <c r="I49" s="1084"/>
      <c r="J49" s="1099">
        <f t="shared" si="27"/>
        <v>0</v>
      </c>
      <c r="K49" s="1100"/>
      <c r="L49" s="1099"/>
      <c r="M49" s="1094"/>
      <c r="N49" s="1084"/>
      <c r="O49" s="1099">
        <f t="shared" si="28"/>
        <v>0</v>
      </c>
      <c r="P49" s="1099"/>
      <c r="Q49" s="1106">
        <f t="shared" ref="Q49:Q58" si="34">G49+L49</f>
        <v>0</v>
      </c>
      <c r="R49" s="1106">
        <f t="shared" si="29"/>
        <v>0</v>
      </c>
      <c r="S49" s="1097">
        <f t="shared" si="30"/>
        <v>0</v>
      </c>
      <c r="T49" s="1013">
        <f t="shared" si="31"/>
        <v>0</v>
      </c>
      <c r="U49" s="1020"/>
      <c r="V49" s="1007">
        <f t="shared" ref="V49:V58" si="35">B49+Q49</f>
        <v>0</v>
      </c>
      <c r="W49" s="1007">
        <f t="shared" si="32"/>
        <v>0</v>
      </c>
      <c r="X49" s="1219">
        <f t="shared" si="33"/>
        <v>0</v>
      </c>
      <c r="Y49" s="1013">
        <f t="shared" ref="Y49:Z58" si="36">E49+T49</f>
        <v>0</v>
      </c>
      <c r="Z49" s="1013">
        <f t="shared" si="36"/>
        <v>0</v>
      </c>
    </row>
    <row r="50" spans="1:29" ht="15" customHeight="1">
      <c r="A50" s="405" t="s">
        <v>727</v>
      </c>
      <c r="B50" s="1067">
        <f>'4 bbb Önkorm'!BO50+'4 ba Polg Hiv'!BC54+'4 a Intézmények'!CD50</f>
        <v>0</v>
      </c>
      <c r="C50" s="1067">
        <f>'4 bbb Önkorm'!BP50+'4 ba Polg Hiv'!BD54+'4 a Intézmények'!CE50</f>
        <v>0</v>
      </c>
      <c r="D50" s="1091">
        <f>'4 bbb Önkorm'!BQ50+'4 ba Polg Hiv'!BE54+'4 a Intézmények'!CF50</f>
        <v>0</v>
      </c>
      <c r="E50" s="1013">
        <f>'4 bbb Önkorm'!BR50+'4 ba Polg Hiv'!BF54+'4 a Intézmények'!CG50</f>
        <v>0</v>
      </c>
      <c r="F50" s="1013">
        <f>'4 bbb Önkorm'!BS50+'4 ba Polg Hiv'!BG54+'4 a Intézmények'!CH50</f>
        <v>0</v>
      </c>
      <c r="G50" s="1099"/>
      <c r="H50" s="1094"/>
      <c r="I50" s="1084"/>
      <c r="J50" s="1099">
        <f t="shared" si="27"/>
        <v>0</v>
      </c>
      <c r="K50" s="1100"/>
      <c r="L50" s="1099"/>
      <c r="M50" s="1094"/>
      <c r="N50" s="1084"/>
      <c r="O50" s="1099">
        <f t="shared" si="28"/>
        <v>0</v>
      </c>
      <c r="P50" s="1099"/>
      <c r="Q50" s="1106">
        <f t="shared" si="34"/>
        <v>0</v>
      </c>
      <c r="R50" s="1106">
        <f t="shared" si="29"/>
        <v>0</v>
      </c>
      <c r="S50" s="1097">
        <f t="shared" si="30"/>
        <v>0</v>
      </c>
      <c r="T50" s="1013">
        <f t="shared" si="31"/>
        <v>0</v>
      </c>
      <c r="U50" s="1020"/>
      <c r="V50" s="1007">
        <f t="shared" si="35"/>
        <v>0</v>
      </c>
      <c r="W50" s="1007">
        <f t="shared" si="32"/>
        <v>0</v>
      </c>
      <c r="X50" s="1219">
        <f t="shared" si="33"/>
        <v>0</v>
      </c>
      <c r="Y50" s="1013">
        <f t="shared" si="36"/>
        <v>0</v>
      </c>
      <c r="Z50" s="1013">
        <f t="shared" si="36"/>
        <v>0</v>
      </c>
    </row>
    <row r="51" spans="1:29" ht="34.5" hidden="1" customHeight="1">
      <c r="A51" s="405" t="s">
        <v>728</v>
      </c>
      <c r="B51" s="1067">
        <f>'4 bbb Önkorm'!BO51+'4 ba Polg Hiv'!BC55+'4 a Intézmények'!CD51</f>
        <v>0</v>
      </c>
      <c r="C51" s="1067">
        <f>'4 bbb Önkorm'!BP51+'4 ba Polg Hiv'!BD55+'4 a Intézmények'!CE51</f>
        <v>0</v>
      </c>
      <c r="D51" s="1091">
        <f>'4 bbb Önkorm'!BQ51+'4 ba Polg Hiv'!BE55+'4 a Intézmények'!CF51</f>
        <v>0</v>
      </c>
      <c r="E51" s="1013">
        <f>'4 bbb Önkorm'!BR51+'4 ba Polg Hiv'!BF55+'4 a Intézmények'!CG51</f>
        <v>0</v>
      </c>
      <c r="F51" s="1013">
        <f>'4 bbb Önkorm'!BS51+'4 ba Polg Hiv'!BG55+'4 a Intézmények'!CH51</f>
        <v>0</v>
      </c>
      <c r="G51" s="1099"/>
      <c r="H51" s="1094"/>
      <c r="I51" s="1084"/>
      <c r="J51" s="1099">
        <f t="shared" si="27"/>
        <v>0</v>
      </c>
      <c r="K51" s="1100"/>
      <c r="L51" s="1099"/>
      <c r="M51" s="1094"/>
      <c r="N51" s="1084"/>
      <c r="O51" s="1099">
        <f t="shared" si="28"/>
        <v>0</v>
      </c>
      <c r="P51" s="1099"/>
      <c r="Q51" s="1106">
        <f t="shared" si="34"/>
        <v>0</v>
      </c>
      <c r="R51" s="1106">
        <f t="shared" si="29"/>
        <v>0</v>
      </c>
      <c r="S51" s="1097">
        <f t="shared" si="30"/>
        <v>0</v>
      </c>
      <c r="T51" s="1013">
        <f t="shared" si="31"/>
        <v>0</v>
      </c>
      <c r="U51" s="1020"/>
      <c r="V51" s="1007">
        <f t="shared" si="35"/>
        <v>0</v>
      </c>
      <c r="W51" s="1007">
        <f t="shared" si="32"/>
        <v>0</v>
      </c>
      <c r="X51" s="1219">
        <f t="shared" si="33"/>
        <v>0</v>
      </c>
      <c r="Y51" s="1013">
        <f t="shared" si="36"/>
        <v>0</v>
      </c>
      <c r="Z51" s="1013">
        <f t="shared" si="36"/>
        <v>0</v>
      </c>
    </row>
    <row r="52" spans="1:29" ht="15" customHeight="1">
      <c r="A52" s="405" t="s">
        <v>729</v>
      </c>
      <c r="B52" s="1067">
        <f>'4 bbb Önkorm'!BO52+'4 ba Polg Hiv'!BC56+'4 a Intézmények'!CD52</f>
        <v>0</v>
      </c>
      <c r="C52" s="1067">
        <f>'4 bbb Önkorm'!BP52+'4 ba Polg Hiv'!BD56+'4 a Intézmények'!CE52</f>
        <v>0</v>
      </c>
      <c r="D52" s="1091">
        <f>'4 bbb Önkorm'!BQ52+'4 ba Polg Hiv'!BE56+'4 a Intézmények'!CF52</f>
        <v>0</v>
      </c>
      <c r="E52" s="1013">
        <f>'4 bbb Önkorm'!BR52+'4 ba Polg Hiv'!BF56+'4 a Intézmények'!CG52</f>
        <v>5890000000</v>
      </c>
      <c r="F52" s="1013">
        <f>'4 bbb Önkorm'!BS52+'4 ba Polg Hiv'!BG56+'4 a Intézmények'!CH52</f>
        <v>5890000000</v>
      </c>
      <c r="G52" s="1099"/>
      <c r="H52" s="1094"/>
      <c r="I52" s="1084"/>
      <c r="J52" s="1099">
        <f t="shared" si="27"/>
        <v>0</v>
      </c>
      <c r="K52" s="1100"/>
      <c r="L52" s="1099"/>
      <c r="M52" s="1094"/>
      <c r="N52" s="1084"/>
      <c r="O52" s="1099">
        <f t="shared" si="28"/>
        <v>0</v>
      </c>
      <c r="P52" s="1099"/>
      <c r="Q52" s="1106">
        <f t="shared" si="34"/>
        <v>0</v>
      </c>
      <c r="R52" s="1106">
        <f t="shared" si="29"/>
        <v>0</v>
      </c>
      <c r="S52" s="1097">
        <f t="shared" si="30"/>
        <v>0</v>
      </c>
      <c r="T52" s="1013">
        <f t="shared" si="31"/>
        <v>0</v>
      </c>
      <c r="U52" s="1020"/>
      <c r="V52" s="1007">
        <f t="shared" si="35"/>
        <v>0</v>
      </c>
      <c r="W52" s="1007">
        <f t="shared" si="32"/>
        <v>0</v>
      </c>
      <c r="X52" s="1219">
        <f t="shared" si="33"/>
        <v>0</v>
      </c>
      <c r="Y52" s="1013">
        <f t="shared" si="36"/>
        <v>5890000000</v>
      </c>
      <c r="Z52" s="1013">
        <f t="shared" si="36"/>
        <v>5890000000</v>
      </c>
    </row>
    <row r="53" spans="1:29" ht="15" customHeight="1">
      <c r="A53" s="405" t="s">
        <v>730</v>
      </c>
      <c r="B53" s="1067">
        <f>'4 bbb Önkorm'!BO53+'4 ba Polg Hiv'!BC57+'4 a Intézmények'!CD53</f>
        <v>0</v>
      </c>
      <c r="C53" s="1067">
        <f>'4 bbb Önkorm'!BP53+'4 ba Polg Hiv'!BD57+'4 a Intézmények'!CE53</f>
        <v>0</v>
      </c>
      <c r="D53" s="1091">
        <f>'4 bbb Önkorm'!BQ53+'4 ba Polg Hiv'!BE57+'4 a Intézmények'!CF53</f>
        <v>0</v>
      </c>
      <c r="E53" s="1013">
        <f>'4 bbb Önkorm'!BR53+'4 ba Polg Hiv'!BF57+'4 a Intézmények'!CG53</f>
        <v>0</v>
      </c>
      <c r="F53" s="1013">
        <f>'4 bbb Önkorm'!BS53+'4 ba Polg Hiv'!BG57+'4 a Intézmények'!CH53</f>
        <v>0</v>
      </c>
      <c r="G53" s="1099"/>
      <c r="H53" s="1094"/>
      <c r="I53" s="1084"/>
      <c r="J53" s="1099">
        <f t="shared" si="27"/>
        <v>0</v>
      </c>
      <c r="K53" s="1100"/>
      <c r="L53" s="1099"/>
      <c r="M53" s="1094"/>
      <c r="N53" s="1084"/>
      <c r="O53" s="1099">
        <f t="shared" si="28"/>
        <v>0</v>
      </c>
      <c r="P53" s="1099"/>
      <c r="Q53" s="1106">
        <f t="shared" si="34"/>
        <v>0</v>
      </c>
      <c r="R53" s="1106">
        <f t="shared" si="29"/>
        <v>0</v>
      </c>
      <c r="S53" s="1097">
        <f t="shared" si="30"/>
        <v>0</v>
      </c>
      <c r="T53" s="1013">
        <f t="shared" si="31"/>
        <v>0</v>
      </c>
      <c r="U53" s="1020"/>
      <c r="V53" s="1007">
        <f t="shared" si="35"/>
        <v>0</v>
      </c>
      <c r="W53" s="1007">
        <f t="shared" si="32"/>
        <v>0</v>
      </c>
      <c r="X53" s="1219">
        <f t="shared" si="33"/>
        <v>0</v>
      </c>
      <c r="Y53" s="1013">
        <f t="shared" si="36"/>
        <v>0</v>
      </c>
      <c r="Z53" s="1013">
        <f t="shared" si="36"/>
        <v>0</v>
      </c>
    </row>
    <row r="54" spans="1:29" ht="15" customHeight="1">
      <c r="A54" s="405" t="s">
        <v>731</v>
      </c>
      <c r="B54" s="1067">
        <f>'4 bbb Önkorm'!BO54+'4 ba Polg Hiv'!BC58+'4 a Intézmények'!CD54</f>
        <v>0</v>
      </c>
      <c r="C54" s="1067">
        <f>'4 bbb Önkorm'!BP54+'4 ba Polg Hiv'!BD58+'4 a Intézmények'!CE54</f>
        <v>0</v>
      </c>
      <c r="D54" s="1091">
        <f>'4 bbb Önkorm'!BQ54+'4 ba Polg Hiv'!BE58+'4 a Intézmények'!CF54</f>
        <v>0</v>
      </c>
      <c r="E54" s="1013">
        <f>'4 bbb Önkorm'!BR54+'4 ba Polg Hiv'!BF58+'4 a Intézmények'!CG54</f>
        <v>0</v>
      </c>
      <c r="F54" s="1013">
        <f>'4 bbb Önkorm'!BS54+'4 ba Polg Hiv'!BG58+'4 a Intézmények'!CH54</f>
        <v>0</v>
      </c>
      <c r="G54" s="1099"/>
      <c r="H54" s="1094"/>
      <c r="I54" s="1084"/>
      <c r="J54" s="1099">
        <f t="shared" si="27"/>
        <v>0</v>
      </c>
      <c r="K54" s="1100"/>
      <c r="L54" s="1099"/>
      <c r="M54" s="1094"/>
      <c r="N54" s="1084"/>
      <c r="O54" s="1099">
        <f t="shared" si="28"/>
        <v>0</v>
      </c>
      <c r="P54" s="1099"/>
      <c r="Q54" s="1106">
        <f t="shared" si="34"/>
        <v>0</v>
      </c>
      <c r="R54" s="1106">
        <f t="shared" si="29"/>
        <v>0</v>
      </c>
      <c r="S54" s="1097">
        <f t="shared" si="30"/>
        <v>0</v>
      </c>
      <c r="T54" s="1013">
        <f t="shared" si="31"/>
        <v>0</v>
      </c>
      <c r="U54" s="1020"/>
      <c r="V54" s="1007">
        <f t="shared" si="35"/>
        <v>0</v>
      </c>
      <c r="W54" s="1007">
        <f t="shared" si="32"/>
        <v>0</v>
      </c>
      <c r="X54" s="1219">
        <f t="shared" si="33"/>
        <v>0</v>
      </c>
      <c r="Y54" s="1013">
        <f t="shared" si="36"/>
        <v>0</v>
      </c>
      <c r="Z54" s="1013">
        <f t="shared" si="36"/>
        <v>0</v>
      </c>
    </row>
    <row r="55" spans="1:29" ht="15" customHeight="1">
      <c r="A55" s="405" t="s">
        <v>732</v>
      </c>
      <c r="B55" s="1067">
        <f>'4 bbb Önkorm'!BO55+'4 ba Polg Hiv'!BC59+'4 a Intézmények'!CD55</f>
        <v>2049522298</v>
      </c>
      <c r="C55" s="1067">
        <f>'4 bbb Önkorm'!BP55+'4 ba Polg Hiv'!BD59+'4 a Intézmények'!CE55</f>
        <v>2084036598</v>
      </c>
      <c r="D55" s="1091">
        <f>'4 bbb Önkorm'!BQ55+'4 ba Polg Hiv'!BE59+'4 a Intézmények'!CF55</f>
        <v>23161910</v>
      </c>
      <c r="E55" s="1013">
        <f>'4 bbb Önkorm'!BR55+'4 ba Polg Hiv'!BF59+'4 a Intézmények'!CG55</f>
        <v>2197159113</v>
      </c>
      <c r="F55" s="1013">
        <f>'4 bbb Önkorm'!BS55+'4 ba Polg Hiv'!BG59+'4 a Intézmények'!CH55</f>
        <v>2197159113</v>
      </c>
      <c r="G55" s="1094">
        <v>-2048936447</v>
      </c>
      <c r="H55" s="1094">
        <v>-2082175667</v>
      </c>
      <c r="I55" s="1084">
        <v>-21974968</v>
      </c>
      <c r="J55" s="1099">
        <f>SUM(H55+I55)-85420385</f>
        <v>-2189571020</v>
      </c>
      <c r="K55" s="1100">
        <v>-2189571020</v>
      </c>
      <c r="L55" s="1099">
        <v>-585851</v>
      </c>
      <c r="M55" s="1094">
        <v>-1860931</v>
      </c>
      <c r="N55" s="1084">
        <v>-1186942</v>
      </c>
      <c r="O55" s="1099">
        <f>SUM(M55+N55)-637794-3902426</f>
        <v>-7588093</v>
      </c>
      <c r="P55" s="1099">
        <v>-7588093</v>
      </c>
      <c r="Q55" s="1106">
        <f t="shared" si="34"/>
        <v>-2049522298</v>
      </c>
      <c r="R55" s="1106">
        <f t="shared" si="29"/>
        <v>-2084036598</v>
      </c>
      <c r="S55" s="1106">
        <f t="shared" si="30"/>
        <v>-23161910</v>
      </c>
      <c r="T55" s="1106">
        <f t="shared" ref="T55:U58" si="37">J55+O55</f>
        <v>-2197159113</v>
      </c>
      <c r="U55" s="1020">
        <f t="shared" si="37"/>
        <v>-2197159113</v>
      </c>
      <c r="V55" s="1007">
        <f t="shared" si="35"/>
        <v>0</v>
      </c>
      <c r="W55" s="1007">
        <f t="shared" si="32"/>
        <v>0</v>
      </c>
      <c r="X55" s="1219">
        <f t="shared" si="33"/>
        <v>0</v>
      </c>
      <c r="Y55" s="1013">
        <f t="shared" si="36"/>
        <v>0</v>
      </c>
      <c r="Z55" s="1013">
        <f t="shared" si="36"/>
        <v>0</v>
      </c>
    </row>
    <row r="56" spans="1:29" ht="15" customHeight="1">
      <c r="A56" s="405" t="s">
        <v>733</v>
      </c>
      <c r="B56" s="1067">
        <f>'4 bbb Önkorm'!BO56+'4 ba Polg Hiv'!BC60+'4 a Intézmények'!CD56</f>
        <v>5168694000</v>
      </c>
      <c r="C56" s="1067">
        <f>'4 bbb Önkorm'!BP56+'4 ba Polg Hiv'!BD60+'4 a Intézmények'!CE56</f>
        <v>5178738007</v>
      </c>
      <c r="D56" s="1091">
        <f>'4 bbb Önkorm'!BQ56+'4 ba Polg Hiv'!BE60+'4 a Intézmények'!CF56</f>
        <v>-26423207</v>
      </c>
      <c r="E56" s="1013">
        <f>'4 bbb Önkorm'!BR56+'4 ba Polg Hiv'!BF60+'4 a Intézmények'!CG56</f>
        <v>5160549464</v>
      </c>
      <c r="F56" s="1013">
        <f>'4 bbb Önkorm'!BS56+'4 ba Polg Hiv'!BG60+'4 a Intézmények'!CH56</f>
        <v>4450264173</v>
      </c>
      <c r="G56" s="1094">
        <v>-3367394000</v>
      </c>
      <c r="H56" s="1094">
        <v>-3362121007</v>
      </c>
      <c r="I56" s="1084">
        <v>27253123</v>
      </c>
      <c r="J56" s="1099">
        <f>SUM(H56+I56)+4466130</f>
        <v>-3330401754</v>
      </c>
      <c r="K56" s="1100">
        <v>-2943087471</v>
      </c>
      <c r="L56" s="1094">
        <v>-1801300000</v>
      </c>
      <c r="M56" s="1094">
        <v>-1816617000</v>
      </c>
      <c r="N56" s="1084">
        <v>-829916</v>
      </c>
      <c r="O56" s="1099">
        <f>SUM(M56+N56)-12700794</f>
        <v>-1830147710</v>
      </c>
      <c r="P56" s="1099">
        <f>-1507288314+111612</f>
        <v>-1507176702</v>
      </c>
      <c r="Q56" s="1106">
        <f t="shared" si="34"/>
        <v>-5168694000</v>
      </c>
      <c r="R56" s="1106">
        <f t="shared" si="29"/>
        <v>-5178738007</v>
      </c>
      <c r="S56" s="1106">
        <f t="shared" si="30"/>
        <v>26423207</v>
      </c>
      <c r="T56" s="1106">
        <f t="shared" si="37"/>
        <v>-5160549464</v>
      </c>
      <c r="U56" s="1020">
        <f t="shared" si="37"/>
        <v>-4450264173</v>
      </c>
      <c r="V56" s="1007">
        <f t="shared" si="35"/>
        <v>0</v>
      </c>
      <c r="W56" s="1007">
        <f t="shared" si="32"/>
        <v>0</v>
      </c>
      <c r="X56" s="1219">
        <f t="shared" si="33"/>
        <v>0</v>
      </c>
      <c r="Y56" s="1013">
        <f t="shared" si="36"/>
        <v>0</v>
      </c>
      <c r="Z56" s="1013">
        <f t="shared" si="36"/>
        <v>0</v>
      </c>
    </row>
    <row r="57" spans="1:29" ht="15" customHeight="1">
      <c r="A57" s="405" t="s">
        <v>734</v>
      </c>
      <c r="B57" s="1067">
        <f>'4 bbb Önkorm'!BO57+'4 ba Polg Hiv'!BC61+'4 a Intézmények'!CD57</f>
        <v>0</v>
      </c>
      <c r="C57" s="1067">
        <f>'4 bbb Önkorm'!BP57+'4 ba Polg Hiv'!BD61+'4 a Intézmények'!CE57</f>
        <v>0</v>
      </c>
      <c r="D57" s="1091">
        <f>'4 bbb Önkorm'!BQ57+'4 ba Polg Hiv'!BE61+'4 a Intézmények'!CF57</f>
        <v>0</v>
      </c>
      <c r="E57" s="1013">
        <f>'4 bbb Önkorm'!BR57+'4 ba Polg Hiv'!BF61+'4 a Intézmények'!CG57</f>
        <v>3517000</v>
      </c>
      <c r="F57" s="1013">
        <f>'4 bbb Önkorm'!BS57+'4 ba Polg Hiv'!BG61+'4 a Intézmények'!CH57</f>
        <v>3517000</v>
      </c>
      <c r="G57" s="1094"/>
      <c r="H57" s="1094"/>
      <c r="I57" s="1084"/>
      <c r="J57" s="1099">
        <v>-3517000</v>
      </c>
      <c r="K57" s="1100">
        <v>-3517000</v>
      </c>
      <c r="L57" s="1094"/>
      <c r="M57" s="1094"/>
      <c r="N57" s="1084"/>
      <c r="O57" s="1099">
        <f>SUM(M57+N57)</f>
        <v>0</v>
      </c>
      <c r="P57" s="1099"/>
      <c r="Q57" s="1106">
        <f t="shared" si="34"/>
        <v>0</v>
      </c>
      <c r="R57" s="1106">
        <f t="shared" si="29"/>
        <v>0</v>
      </c>
      <c r="S57" s="1097">
        <f t="shared" si="30"/>
        <v>0</v>
      </c>
      <c r="T57" s="1106">
        <f t="shared" si="37"/>
        <v>-3517000</v>
      </c>
      <c r="U57" s="1020">
        <f t="shared" si="37"/>
        <v>-3517000</v>
      </c>
      <c r="V57" s="1007">
        <f t="shared" si="35"/>
        <v>0</v>
      </c>
      <c r="W57" s="1007">
        <f t="shared" si="32"/>
        <v>0</v>
      </c>
      <c r="X57" s="1219">
        <f t="shared" si="33"/>
        <v>0</v>
      </c>
      <c r="Y57" s="1013">
        <f t="shared" si="36"/>
        <v>0</v>
      </c>
      <c r="Z57" s="1013">
        <f t="shared" si="36"/>
        <v>0</v>
      </c>
    </row>
    <row r="58" spans="1:29" ht="15" customHeight="1">
      <c r="A58" s="405" t="s">
        <v>735</v>
      </c>
      <c r="B58" s="1067">
        <f>'4 bbb Önkorm'!BO58+'4 ba Polg Hiv'!BC62+'4 a Intézmények'!CD58</f>
        <v>906693000</v>
      </c>
      <c r="C58" s="1067">
        <f>'4 bbb Önkorm'!BP58+'4 ba Polg Hiv'!BD62+'4 a Intézmények'!CE58</f>
        <v>1149695333</v>
      </c>
      <c r="D58" s="1091">
        <f>'4 bbb Önkorm'!BQ58+'4 ba Polg Hiv'!BE62+'4 a Intézmények'!CF58</f>
        <v>-204727348</v>
      </c>
      <c r="E58" s="1013">
        <f>'4 bbb Önkorm'!BR58+'4 ba Polg Hiv'!BF62+'4 a Intézmények'!CG58</f>
        <v>929711234</v>
      </c>
      <c r="F58" s="1013">
        <f>'4 bbb Önkorm'!BS58+'4 ba Polg Hiv'!BG62+'4 a Intézmények'!CH58</f>
        <v>812905899</v>
      </c>
      <c r="G58" s="1094">
        <v>-813030000</v>
      </c>
      <c r="H58" s="1094">
        <v>-1031775333</v>
      </c>
      <c r="I58" s="1084">
        <v>204727348</v>
      </c>
      <c r="J58" s="1099">
        <f>SUM(H58+I58)+15439139</f>
        <v>-811608846</v>
      </c>
      <c r="K58" s="1100">
        <v>-708853372</v>
      </c>
      <c r="L58" s="1094">
        <v>-93663000</v>
      </c>
      <c r="M58" s="1094">
        <v>-117920000</v>
      </c>
      <c r="N58" s="1084"/>
      <c r="O58" s="1099">
        <f>SUM(M58+N58)-182388</f>
        <v>-118102388</v>
      </c>
      <c r="P58" s="1099">
        <f>-103940915-111612</f>
        <v>-104052527</v>
      </c>
      <c r="Q58" s="1106">
        <f t="shared" si="34"/>
        <v>-906693000</v>
      </c>
      <c r="R58" s="1106">
        <f t="shared" si="29"/>
        <v>-1149695333</v>
      </c>
      <c r="S58" s="1097">
        <f t="shared" si="30"/>
        <v>204727348</v>
      </c>
      <c r="T58" s="1106">
        <f t="shared" si="37"/>
        <v>-929711234</v>
      </c>
      <c r="U58" s="1020">
        <f t="shared" si="37"/>
        <v>-812905899</v>
      </c>
      <c r="V58" s="1007">
        <f t="shared" si="35"/>
        <v>0</v>
      </c>
      <c r="W58" s="1007">
        <f t="shared" si="32"/>
        <v>0</v>
      </c>
      <c r="X58" s="1219">
        <f t="shared" si="33"/>
        <v>0</v>
      </c>
      <c r="Y58" s="1013">
        <f t="shared" si="36"/>
        <v>0</v>
      </c>
      <c r="Z58" s="1013">
        <f t="shared" si="36"/>
        <v>0</v>
      </c>
    </row>
    <row r="59" spans="1:29" s="630" customFormat="1" ht="21" hidden="1" customHeight="1">
      <c r="A59" s="405" t="s">
        <v>736</v>
      </c>
      <c r="B59" s="1067">
        <f>'4 bbb Önkorm'!BO59+'4 ba Polg Hiv'!BC63+'4 a Intézmények'!CD59</f>
        <v>0</v>
      </c>
      <c r="C59" s="1067">
        <f>'4 bbb Önkorm'!BP59+'4 ba Polg Hiv'!BD63+'4 a Intézmények'!CE59</f>
        <v>0</v>
      </c>
      <c r="D59" s="1091">
        <f>'4 bbb Önkorm'!BQ59+'4 ba Polg Hiv'!BE63+'4 a Intézmények'!CF59</f>
        <v>0</v>
      </c>
      <c r="E59" s="1013">
        <f>SUM(C59+D59)</f>
        <v>0</v>
      </c>
      <c r="F59" s="1020"/>
      <c r="G59" s="1099"/>
      <c r="H59" s="1010"/>
      <c r="I59" s="1201"/>
      <c r="J59" s="1099">
        <f>SUM(H59+I59)</f>
        <v>0</v>
      </c>
      <c r="K59" s="1100"/>
      <c r="L59" s="1099"/>
      <c r="M59" s="1010"/>
      <c r="N59" s="1201"/>
      <c r="O59" s="1010"/>
      <c r="P59" s="1010"/>
      <c r="Q59" s="1015"/>
      <c r="R59" s="1106">
        <f t="shared" si="29"/>
        <v>0</v>
      </c>
      <c r="S59" s="1218">
        <f t="shared" si="30"/>
        <v>0</v>
      </c>
      <c r="T59" s="1013">
        <f>SUM(R59+S59)</f>
        <v>0</v>
      </c>
      <c r="U59" s="1020"/>
      <c r="V59" s="1013"/>
      <c r="W59" s="1015">
        <f t="shared" si="32"/>
        <v>0</v>
      </c>
      <c r="X59" s="1197">
        <f t="shared" si="33"/>
        <v>0</v>
      </c>
      <c r="Y59" s="1015">
        <f>SUM(W59+X59)</f>
        <v>0</v>
      </c>
      <c r="Z59" s="961"/>
    </row>
    <row r="60" spans="1:29" s="630" customFormat="1" ht="15" customHeight="1" thickBot="1">
      <c r="A60" s="1222" t="s">
        <v>737</v>
      </c>
      <c r="B60" s="1028">
        <f t="shared" ref="B60:Z60" si="38">SUM(B47:B59)</f>
        <v>8124909298</v>
      </c>
      <c r="C60" s="1028">
        <f t="shared" si="38"/>
        <v>8412469938</v>
      </c>
      <c r="D60" s="1028">
        <f t="shared" si="38"/>
        <v>-207988645</v>
      </c>
      <c r="E60" s="1028">
        <f t="shared" si="38"/>
        <v>14180936811</v>
      </c>
      <c r="F60" s="1028">
        <f t="shared" si="38"/>
        <v>13353846185</v>
      </c>
      <c r="G60" s="1028">
        <f t="shared" si="38"/>
        <v>-6229360447</v>
      </c>
      <c r="H60" s="1028">
        <f t="shared" si="38"/>
        <v>-6476072007</v>
      </c>
      <c r="I60" s="1028">
        <f t="shared" si="38"/>
        <v>210005503</v>
      </c>
      <c r="J60" s="1028">
        <f t="shared" si="38"/>
        <v>-6335098620</v>
      </c>
      <c r="K60" s="1028">
        <f t="shared" si="38"/>
        <v>-5845028863</v>
      </c>
      <c r="L60" s="1028">
        <f t="shared" si="38"/>
        <v>-1895548851</v>
      </c>
      <c r="M60" s="1028">
        <f t="shared" si="38"/>
        <v>-1936397931</v>
      </c>
      <c r="N60" s="1028">
        <f t="shared" si="38"/>
        <v>-2016858</v>
      </c>
      <c r="O60" s="1028">
        <f t="shared" si="38"/>
        <v>-1955838191</v>
      </c>
      <c r="P60" s="1028">
        <f t="shared" si="38"/>
        <v>-1618817322</v>
      </c>
      <c r="Q60" s="1028">
        <f t="shared" si="38"/>
        <v>-8124909298</v>
      </c>
      <c r="R60" s="1028">
        <f t="shared" si="38"/>
        <v>-8412469938</v>
      </c>
      <c r="S60" s="1028">
        <f t="shared" si="38"/>
        <v>207988645</v>
      </c>
      <c r="T60" s="1028">
        <f t="shared" si="38"/>
        <v>-8290936811</v>
      </c>
      <c r="U60" s="1028">
        <f t="shared" si="38"/>
        <v>-7463846185</v>
      </c>
      <c r="V60" s="1028">
        <f t="shared" si="38"/>
        <v>0</v>
      </c>
      <c r="W60" s="1028">
        <f t="shared" si="38"/>
        <v>0</v>
      </c>
      <c r="X60" s="1028">
        <f t="shared" si="38"/>
        <v>0</v>
      </c>
      <c r="Y60" s="1028">
        <f t="shared" si="38"/>
        <v>5890000000</v>
      </c>
      <c r="Z60" s="1028">
        <f t="shared" si="38"/>
        <v>5890000000</v>
      </c>
    </row>
    <row r="61" spans="1:29" s="405" customFormat="1" ht="15" customHeight="1" thickBot="1">
      <c r="A61" s="1103" t="s">
        <v>738</v>
      </c>
      <c r="B61" s="1030">
        <f t="shared" ref="B61:Z61" si="39">SUM(B46+B60)</f>
        <v>24474371583</v>
      </c>
      <c r="C61" s="1030">
        <f t="shared" si="39"/>
        <v>26525509439</v>
      </c>
      <c r="D61" s="1030">
        <f t="shared" si="39"/>
        <v>-175460329</v>
      </c>
      <c r="E61" s="1030">
        <f t="shared" si="39"/>
        <v>33240944720</v>
      </c>
      <c r="F61" s="1030">
        <f t="shared" si="39"/>
        <v>27953629971</v>
      </c>
      <c r="G61" s="1030">
        <f t="shared" si="39"/>
        <v>-6229360447</v>
      </c>
      <c r="H61" s="1030">
        <f t="shared" si="39"/>
        <v>-6476072007</v>
      </c>
      <c r="I61" s="1030">
        <f t="shared" si="39"/>
        <v>210005503</v>
      </c>
      <c r="J61" s="1030">
        <f t="shared" si="39"/>
        <v>-6335098620</v>
      </c>
      <c r="K61" s="1030">
        <f t="shared" si="39"/>
        <v>-5845028863</v>
      </c>
      <c r="L61" s="1030">
        <f t="shared" si="39"/>
        <v>-1895548851</v>
      </c>
      <c r="M61" s="1030">
        <f t="shared" si="39"/>
        <v>-1936397931</v>
      </c>
      <c r="N61" s="1030">
        <f t="shared" si="39"/>
        <v>-2016858</v>
      </c>
      <c r="O61" s="1030">
        <f t="shared" si="39"/>
        <v>-1955838191</v>
      </c>
      <c r="P61" s="1030">
        <f t="shared" si="39"/>
        <v>-1618817322</v>
      </c>
      <c r="Q61" s="1030">
        <f t="shared" si="39"/>
        <v>-8124909298</v>
      </c>
      <c r="R61" s="1030">
        <f t="shared" si="39"/>
        <v>-8412469938</v>
      </c>
      <c r="S61" s="1030">
        <f t="shared" si="39"/>
        <v>207988645</v>
      </c>
      <c r="T61" s="1030">
        <f t="shared" si="39"/>
        <v>-8290936811</v>
      </c>
      <c r="U61" s="1030">
        <f t="shared" si="39"/>
        <v>-7463846185</v>
      </c>
      <c r="V61" s="1030">
        <f t="shared" si="39"/>
        <v>16349462285</v>
      </c>
      <c r="W61" s="1030">
        <f t="shared" si="39"/>
        <v>18113039501</v>
      </c>
      <c r="X61" s="1030">
        <f t="shared" si="39"/>
        <v>32528316</v>
      </c>
      <c r="Y61" s="1030">
        <f t="shared" si="39"/>
        <v>24950007909</v>
      </c>
      <c r="Z61" s="1030">
        <f t="shared" si="39"/>
        <v>20489783786</v>
      </c>
    </row>
    <row r="62" spans="1:29" s="630" customFormat="1" ht="16.5" customHeight="1">
      <c r="A62" s="1105" t="s">
        <v>739</v>
      </c>
      <c r="B62" s="1105"/>
      <c r="C62" s="1013"/>
      <c r="D62" s="1106"/>
      <c r="E62" s="1013"/>
      <c r="F62" s="1013"/>
      <c r="G62" s="1099"/>
      <c r="H62" s="1099"/>
      <c r="I62" s="1094"/>
      <c r="J62" s="1099"/>
      <c r="K62" s="1099"/>
      <c r="L62" s="1099"/>
      <c r="M62" s="1099"/>
      <c r="N62" s="1094"/>
      <c r="O62" s="1099"/>
      <c r="P62" s="1099"/>
      <c r="Q62" s="1013"/>
      <c r="R62" s="1013"/>
      <c r="S62" s="1106"/>
      <c r="T62" s="1013"/>
      <c r="U62" s="1013"/>
      <c r="V62" s="1013"/>
      <c r="W62" s="1013"/>
      <c r="X62" s="1013"/>
      <c r="Y62" s="1013"/>
      <c r="Z62" s="961"/>
      <c r="AC62" s="297"/>
    </row>
    <row r="63" spans="1:29" ht="16.5" hidden="1" customHeight="1">
      <c r="A63" s="1092" t="s">
        <v>740</v>
      </c>
      <c r="B63" s="1067">
        <f>'4 bbb Önkorm'!BO63+'4 ba Polg Hiv'!BC67+'4 a Intézmények'!CD63</f>
        <v>0</v>
      </c>
      <c r="C63" s="1067">
        <f>'4 bbb Önkorm'!BP63+'4 ba Polg Hiv'!BD67+'4 a Intézmények'!CE63</f>
        <v>0</v>
      </c>
      <c r="D63" s="1091">
        <f>'4 bbb Önkorm'!BQ63+'4 ba Polg Hiv'!BE67+'4 a Intézmények'!CF63</f>
        <v>0</v>
      </c>
      <c r="E63" s="1013">
        <f>SUM(C63+D63)</f>
        <v>0</v>
      </c>
      <c r="F63" s="1020"/>
      <c r="G63" s="1099"/>
      <c r="H63" s="1094"/>
      <c r="I63" s="1084"/>
      <c r="J63" s="1099">
        <f t="shared" ref="J63:J76" si="40">SUM(H63+I63)</f>
        <v>0</v>
      </c>
      <c r="K63" s="1100"/>
      <c r="L63" s="1099"/>
      <c r="M63" s="1094"/>
      <c r="N63" s="1084"/>
      <c r="O63" s="1099">
        <f t="shared" ref="O63:O76" si="41">SUM(M63+N63)</f>
        <v>0</v>
      </c>
      <c r="P63" s="1099"/>
      <c r="Q63" s="1013"/>
      <c r="R63" s="1106">
        <f t="shared" ref="R63:R76" si="42">H63+M63</f>
        <v>0</v>
      </c>
      <c r="S63" s="1218">
        <f t="shared" ref="S63:S76" si="43">I63+N63</f>
        <v>0</v>
      </c>
      <c r="T63" s="1013">
        <f t="shared" ref="T63:T76" si="44">SUM(R63+S63)</f>
        <v>0</v>
      </c>
      <c r="U63" s="1020"/>
      <c r="V63" s="1013"/>
      <c r="W63" s="1007">
        <f t="shared" ref="W63:W76" si="45">C63+R63</f>
        <v>0</v>
      </c>
      <c r="X63" s="1197">
        <f t="shared" ref="X63:X76" si="46">D63+S63</f>
        <v>0</v>
      </c>
      <c r="Y63" s="1013">
        <f>SUM(W63+X63)</f>
        <v>0</v>
      </c>
    </row>
    <row r="64" spans="1:29" ht="16.5" customHeight="1">
      <c r="A64" s="1107" t="s">
        <v>741</v>
      </c>
      <c r="B64" s="1067">
        <f>'4 bbb Önkorm'!BO64+'4 ba Polg Hiv'!BC68+'4 a Intézmények'!CD64</f>
        <v>2053432498</v>
      </c>
      <c r="C64" s="1067">
        <f>'4 bbb Önkorm'!BP64+'4 ba Polg Hiv'!BD68+'4 a Intézmények'!CE64</f>
        <v>2087946798</v>
      </c>
      <c r="D64" s="1091">
        <f>'4 bbb Önkorm'!BQ64+'4 ba Polg Hiv'!BE68+'4 a Intézmények'!CF64</f>
        <v>19251710</v>
      </c>
      <c r="E64" s="1013">
        <f>'4 bbb Önkorm'!BR64+'4 ba Polg Hiv'!BF68+'4 a Intézmények'!CG64</f>
        <v>2197159113</v>
      </c>
      <c r="F64" s="1013">
        <f>'4 bbb Önkorm'!BS64+'4 ba Polg Hiv'!BG68+'4 a Intézmények'!CH64</f>
        <v>2197159113</v>
      </c>
      <c r="G64" s="1099"/>
      <c r="H64" s="1094"/>
      <c r="I64" s="1084"/>
      <c r="J64" s="1099">
        <f t="shared" si="40"/>
        <v>0</v>
      </c>
      <c r="K64" s="1100"/>
      <c r="L64" s="1099"/>
      <c r="M64" s="1094"/>
      <c r="N64" s="1084"/>
      <c r="O64" s="1099">
        <f t="shared" si="41"/>
        <v>0</v>
      </c>
      <c r="P64" s="1099"/>
      <c r="Q64" s="1106">
        <f t="shared" ref="Q64:Q76" si="47">G64+L64</f>
        <v>0</v>
      </c>
      <c r="R64" s="1106">
        <f t="shared" si="42"/>
        <v>0</v>
      </c>
      <c r="S64" s="1097">
        <f t="shared" si="43"/>
        <v>0</v>
      </c>
      <c r="T64" s="1013">
        <f t="shared" si="44"/>
        <v>0</v>
      </c>
      <c r="U64" s="1020"/>
      <c r="V64" s="1007">
        <f t="shared" ref="V64:V76" si="48">B64+Q64</f>
        <v>2053432498</v>
      </c>
      <c r="W64" s="1007">
        <f t="shared" si="45"/>
        <v>2087946798</v>
      </c>
      <c r="X64" s="1219">
        <f t="shared" si="46"/>
        <v>19251710</v>
      </c>
      <c r="Y64" s="1013">
        <f t="shared" ref="Y64:Z76" si="49">E64+T64</f>
        <v>2197159113</v>
      </c>
      <c r="Z64" s="1013">
        <f t="shared" si="49"/>
        <v>2197159113</v>
      </c>
    </row>
    <row r="65" spans="1:26" ht="15" customHeight="1">
      <c r="A65" s="1107" t="s">
        <v>742</v>
      </c>
      <c r="B65" s="1067">
        <f>'4 bbb Önkorm'!BO65+'4 ba Polg Hiv'!BC69+'4 a Intézmények'!CD65</f>
        <v>0</v>
      </c>
      <c r="C65" s="1067">
        <f>'4 bbb Önkorm'!BP65+'4 ba Polg Hiv'!BD69+'4 a Intézmények'!CE65</f>
        <v>52257876</v>
      </c>
      <c r="D65" s="1091">
        <f>'4 bbb Önkorm'!BQ65+'4 ba Polg Hiv'!BE69+'4 a Intézmények'!CF65</f>
        <v>0</v>
      </c>
      <c r="E65" s="1013">
        <f>'4 bbb Önkorm'!BR65+'4 ba Polg Hiv'!BF69+'4 a Intézmények'!CG65</f>
        <v>52257876</v>
      </c>
      <c r="F65" s="1013">
        <f>'4 bbb Önkorm'!BS65+'4 ba Polg Hiv'!BG69+'4 a Intézmények'!CH65</f>
        <v>52257876</v>
      </c>
      <c r="G65" s="1099"/>
      <c r="H65" s="1094"/>
      <c r="I65" s="1084"/>
      <c r="J65" s="1099">
        <f t="shared" si="40"/>
        <v>0</v>
      </c>
      <c r="K65" s="1100"/>
      <c r="L65" s="1099"/>
      <c r="M65" s="1094"/>
      <c r="N65" s="1084"/>
      <c r="O65" s="1099">
        <f t="shared" si="41"/>
        <v>0</v>
      </c>
      <c r="P65" s="1099"/>
      <c r="Q65" s="1106">
        <f t="shared" si="47"/>
        <v>0</v>
      </c>
      <c r="R65" s="1106">
        <f t="shared" si="42"/>
        <v>0</v>
      </c>
      <c r="S65" s="1097">
        <f t="shared" si="43"/>
        <v>0</v>
      </c>
      <c r="T65" s="1013">
        <f t="shared" si="44"/>
        <v>0</v>
      </c>
      <c r="U65" s="1020"/>
      <c r="V65" s="1007">
        <f t="shared" si="48"/>
        <v>0</v>
      </c>
      <c r="W65" s="1007">
        <f t="shared" si="45"/>
        <v>52257876</v>
      </c>
      <c r="X65" s="1219">
        <f t="shared" si="46"/>
        <v>0</v>
      </c>
      <c r="Y65" s="1013">
        <f t="shared" si="49"/>
        <v>52257876</v>
      </c>
      <c r="Z65" s="1013">
        <f t="shared" si="49"/>
        <v>52257876</v>
      </c>
    </row>
    <row r="66" spans="1:26" ht="15" customHeight="1">
      <c r="A66" s="405" t="s">
        <v>743</v>
      </c>
      <c r="B66" s="1067">
        <f>'4 bbb Önkorm'!BO66+'4 ba Polg Hiv'!BC70+'4 a Intézmények'!CD66</f>
        <v>0</v>
      </c>
      <c r="C66" s="1067">
        <f>'4 bbb Önkorm'!BP66+'4 ba Polg Hiv'!BD70+'4 a Intézmények'!CE66</f>
        <v>0</v>
      </c>
      <c r="D66" s="1091">
        <f>'4 bbb Önkorm'!BQ66+'4 ba Polg Hiv'!BE70+'4 a Intézmények'!CF66</f>
        <v>0</v>
      </c>
      <c r="E66" s="1013">
        <f>'4 bbb Önkorm'!BR66+'4 ba Polg Hiv'!BF70+'4 a Intézmények'!CG66</f>
        <v>0</v>
      </c>
      <c r="F66" s="1013">
        <f>'4 bbb Önkorm'!BS66+'4 ba Polg Hiv'!BG70+'4 a Intézmények'!CH66</f>
        <v>0</v>
      </c>
      <c r="G66" s="1099"/>
      <c r="H66" s="1094"/>
      <c r="I66" s="1084"/>
      <c r="J66" s="1099">
        <f t="shared" si="40"/>
        <v>0</v>
      </c>
      <c r="K66" s="1100"/>
      <c r="L66" s="1099"/>
      <c r="M66" s="1094"/>
      <c r="N66" s="1084"/>
      <c r="O66" s="1099">
        <f t="shared" si="41"/>
        <v>0</v>
      </c>
      <c r="P66" s="1099"/>
      <c r="Q66" s="1106">
        <f t="shared" si="47"/>
        <v>0</v>
      </c>
      <c r="R66" s="1106">
        <f t="shared" si="42"/>
        <v>0</v>
      </c>
      <c r="S66" s="1097">
        <f t="shared" si="43"/>
        <v>0</v>
      </c>
      <c r="T66" s="1013">
        <f t="shared" si="44"/>
        <v>0</v>
      </c>
      <c r="U66" s="1020"/>
      <c r="V66" s="1007">
        <f t="shared" si="48"/>
        <v>0</v>
      </c>
      <c r="W66" s="1007">
        <f t="shared" si="45"/>
        <v>0</v>
      </c>
      <c r="X66" s="1219">
        <f t="shared" si="46"/>
        <v>0</v>
      </c>
      <c r="Y66" s="1013">
        <f t="shared" si="49"/>
        <v>0</v>
      </c>
      <c r="Z66" s="1013">
        <f t="shared" si="49"/>
        <v>0</v>
      </c>
    </row>
    <row r="67" spans="1:26" ht="15" customHeight="1">
      <c r="A67" s="630" t="s">
        <v>744</v>
      </c>
      <c r="B67" s="1067">
        <f>'4 bbb Önkorm'!BO67+'4 ba Polg Hiv'!BC71+'4 a Intézmények'!CD67</f>
        <v>1022528000</v>
      </c>
      <c r="C67" s="1067">
        <f>'4 bbb Önkorm'!BP67+'4 ba Polg Hiv'!BD71+'4 a Intézmények'!CE67</f>
        <v>1022528000</v>
      </c>
      <c r="D67" s="1091">
        <f>'4 bbb Önkorm'!BQ67+'4 ba Polg Hiv'!BE71+'4 a Intézmények'!CF67</f>
        <v>-1327000</v>
      </c>
      <c r="E67" s="1013">
        <f>'4 bbb Önkorm'!BR67+'4 ba Polg Hiv'!BF71+'4 a Intézmények'!CG67</f>
        <v>1086764500</v>
      </c>
      <c r="F67" s="1013">
        <f>'4 bbb Önkorm'!BS67+'4 ba Polg Hiv'!BG71+'4 a Intézmények'!CH67</f>
        <v>1086764500</v>
      </c>
      <c r="G67" s="1099"/>
      <c r="H67" s="1094"/>
      <c r="I67" s="1084"/>
      <c r="J67" s="1099">
        <f t="shared" si="40"/>
        <v>0</v>
      </c>
      <c r="K67" s="1100"/>
      <c r="L67" s="1099"/>
      <c r="M67" s="1094"/>
      <c r="N67" s="1084"/>
      <c r="O67" s="1099">
        <f t="shared" si="41"/>
        <v>0</v>
      </c>
      <c r="P67" s="1099"/>
      <c r="Q67" s="1106">
        <f t="shared" si="47"/>
        <v>0</v>
      </c>
      <c r="R67" s="1106">
        <f t="shared" si="42"/>
        <v>0</v>
      </c>
      <c r="S67" s="1097">
        <f t="shared" si="43"/>
        <v>0</v>
      </c>
      <c r="T67" s="1013">
        <f t="shared" si="44"/>
        <v>0</v>
      </c>
      <c r="U67" s="1020"/>
      <c r="V67" s="1007">
        <f t="shared" si="48"/>
        <v>1022528000</v>
      </c>
      <c r="W67" s="1007">
        <f t="shared" si="45"/>
        <v>1022528000</v>
      </c>
      <c r="X67" s="1219">
        <f t="shared" si="46"/>
        <v>-1327000</v>
      </c>
      <c r="Y67" s="1013">
        <f t="shared" si="49"/>
        <v>1086764500</v>
      </c>
      <c r="Z67" s="1013">
        <f t="shared" si="49"/>
        <v>1086764500</v>
      </c>
    </row>
    <row r="68" spans="1:26" ht="15" customHeight="1">
      <c r="A68" s="1092" t="s">
        <v>745</v>
      </c>
      <c r="B68" s="1067">
        <f>'4 bbb Önkorm'!BO68+'4 ba Polg Hiv'!BC72+'4 a Intézmények'!CD68</f>
        <v>127220451</v>
      </c>
      <c r="C68" s="1067">
        <f>'4 bbb Önkorm'!BP68+'4 ba Polg Hiv'!BD72+'4 a Intézmények'!CE68</f>
        <v>167961231</v>
      </c>
      <c r="D68" s="1091">
        <f>'4 bbb Önkorm'!BQ68+'4 ba Polg Hiv'!BE72+'4 a Intézmények'!CF68</f>
        <v>-29031832</v>
      </c>
      <c r="E68" s="1013">
        <f>'4 bbb Önkorm'!BR68+'4 ba Polg Hiv'!BF72+'4 a Intézmények'!CG68</f>
        <v>171378738</v>
      </c>
      <c r="F68" s="1013">
        <f>'4 bbb Önkorm'!BS68+'4 ba Polg Hiv'!BG72+'4 a Intézmények'!CH68</f>
        <v>171158412</v>
      </c>
      <c r="G68" s="1099"/>
      <c r="H68" s="1094"/>
      <c r="I68" s="1084"/>
      <c r="J68" s="1099">
        <f t="shared" si="40"/>
        <v>0</v>
      </c>
      <c r="K68" s="1100"/>
      <c r="L68" s="1099"/>
      <c r="M68" s="1094"/>
      <c r="N68" s="1084"/>
      <c r="O68" s="1099">
        <f t="shared" si="41"/>
        <v>0</v>
      </c>
      <c r="P68" s="1099"/>
      <c r="Q68" s="1106">
        <f t="shared" si="47"/>
        <v>0</v>
      </c>
      <c r="R68" s="1106">
        <f t="shared" si="42"/>
        <v>0</v>
      </c>
      <c r="S68" s="1097">
        <f t="shared" si="43"/>
        <v>0</v>
      </c>
      <c r="T68" s="1013">
        <f t="shared" si="44"/>
        <v>0</v>
      </c>
      <c r="U68" s="1020"/>
      <c r="V68" s="1007">
        <f t="shared" si="48"/>
        <v>127220451</v>
      </c>
      <c r="W68" s="1007">
        <f t="shared" si="45"/>
        <v>167961231</v>
      </c>
      <c r="X68" s="1219">
        <f t="shared" si="46"/>
        <v>-29031832</v>
      </c>
      <c r="Y68" s="1013">
        <f t="shared" si="49"/>
        <v>171378738</v>
      </c>
      <c r="Z68" s="1013">
        <f t="shared" si="49"/>
        <v>171158412</v>
      </c>
    </row>
    <row r="69" spans="1:26" ht="15" customHeight="1">
      <c r="A69" s="1107" t="s">
        <v>746</v>
      </c>
      <c r="B69" s="1067">
        <f>'4 bbb Önkorm'!BO69+'4 ba Polg Hiv'!BC73+'4 a Intézmények'!CD69</f>
        <v>8351767000</v>
      </c>
      <c r="C69" s="1067">
        <f>'4 bbb Önkorm'!BP69+'4 ba Polg Hiv'!BD73+'4 a Intézmények'!CE69</f>
        <v>8424867000</v>
      </c>
      <c r="D69" s="1091">
        <f>'4 bbb Önkorm'!BQ69+'4 ba Polg Hiv'!BE73+'4 a Intézmények'!CF69</f>
        <v>0</v>
      </c>
      <c r="E69" s="1013">
        <f>'4 bbb Önkorm'!BR69+'4 ba Polg Hiv'!BF73+'4 a Intézmények'!CG69</f>
        <v>8674671840</v>
      </c>
      <c r="F69" s="1013">
        <f>'4 bbb Önkorm'!BS69+'4 ba Polg Hiv'!BG73+'4 a Intézmények'!CH69</f>
        <v>8661758219</v>
      </c>
      <c r="G69" s="1099"/>
      <c r="H69" s="1099"/>
      <c r="I69" s="1199"/>
      <c r="J69" s="1099">
        <f t="shared" si="40"/>
        <v>0</v>
      </c>
      <c r="K69" s="1100"/>
      <c r="L69" s="1099"/>
      <c r="M69" s="1099"/>
      <c r="N69" s="1199"/>
      <c r="O69" s="1099">
        <f t="shared" si="41"/>
        <v>0</v>
      </c>
      <c r="P69" s="1099"/>
      <c r="Q69" s="1106">
        <f t="shared" si="47"/>
        <v>0</v>
      </c>
      <c r="R69" s="1106">
        <f t="shared" si="42"/>
        <v>0</v>
      </c>
      <c r="S69" s="1097">
        <f t="shared" si="43"/>
        <v>0</v>
      </c>
      <c r="T69" s="1013">
        <f t="shared" si="44"/>
        <v>0</v>
      </c>
      <c r="U69" s="1020"/>
      <c r="V69" s="1007">
        <f t="shared" si="48"/>
        <v>8351767000</v>
      </c>
      <c r="W69" s="1007">
        <f t="shared" si="45"/>
        <v>8424867000</v>
      </c>
      <c r="X69" s="1219">
        <f t="shared" si="46"/>
        <v>0</v>
      </c>
      <c r="Y69" s="1013">
        <f t="shared" si="49"/>
        <v>8674671840</v>
      </c>
      <c r="Z69" s="1013">
        <f t="shared" si="49"/>
        <v>8661758219</v>
      </c>
    </row>
    <row r="70" spans="1:26" ht="34.5" hidden="1" customHeight="1">
      <c r="A70" s="1107" t="s">
        <v>747</v>
      </c>
      <c r="B70" s="1067">
        <f>'4 bbb Önkorm'!BO70+'4 ba Polg Hiv'!BC74+'4 a Intézmények'!CD70</f>
        <v>0</v>
      </c>
      <c r="C70" s="1067">
        <f>'4 bbb Önkorm'!BP70+'4 ba Polg Hiv'!BD74+'4 a Intézmények'!CE70</f>
        <v>0</v>
      </c>
      <c r="D70" s="1091">
        <f>'4 bbb Önkorm'!BQ70+'4 ba Polg Hiv'!BE74+'4 a Intézmények'!CF70</f>
        <v>0</v>
      </c>
      <c r="E70" s="1013">
        <f>'4 bbb Önkorm'!BR70+'4 ba Polg Hiv'!BF74+'4 a Intézmények'!CG70</f>
        <v>0</v>
      </c>
      <c r="F70" s="1013">
        <f>'4 bbb Önkorm'!BS70+'4 ba Polg Hiv'!BG74+'4 a Intézmények'!CH70</f>
        <v>0</v>
      </c>
      <c r="G70" s="1099"/>
      <c r="H70" s="1094"/>
      <c r="I70" s="1084"/>
      <c r="J70" s="1099">
        <f t="shared" si="40"/>
        <v>0</v>
      </c>
      <c r="K70" s="1100"/>
      <c r="L70" s="1099"/>
      <c r="M70" s="1094"/>
      <c r="N70" s="1084"/>
      <c r="O70" s="1099">
        <f t="shared" si="41"/>
        <v>0</v>
      </c>
      <c r="P70" s="1099"/>
      <c r="Q70" s="1106">
        <f t="shared" si="47"/>
        <v>0</v>
      </c>
      <c r="R70" s="1106">
        <f t="shared" si="42"/>
        <v>0</v>
      </c>
      <c r="S70" s="1097">
        <f t="shared" si="43"/>
        <v>0</v>
      </c>
      <c r="T70" s="1013">
        <f t="shared" si="44"/>
        <v>0</v>
      </c>
      <c r="U70" s="1020"/>
      <c r="V70" s="1007">
        <f t="shared" si="48"/>
        <v>0</v>
      </c>
      <c r="W70" s="1007">
        <f t="shared" si="45"/>
        <v>0</v>
      </c>
      <c r="X70" s="1219">
        <f t="shared" si="46"/>
        <v>0</v>
      </c>
      <c r="Y70" s="1013">
        <f t="shared" si="49"/>
        <v>0</v>
      </c>
      <c r="Z70" s="1013">
        <f t="shared" si="49"/>
        <v>0</v>
      </c>
    </row>
    <row r="71" spans="1:26" ht="15" customHeight="1">
      <c r="A71" s="1092" t="s">
        <v>748</v>
      </c>
      <c r="B71" s="1067">
        <f>'4 bbb Önkorm'!BO71+'4 ba Polg Hiv'!BC75+'4 a Intézmények'!CD71</f>
        <v>375191273</v>
      </c>
      <c r="C71" s="1067">
        <f>'4 bbb Önkorm'!BP71+'4 ba Polg Hiv'!BD75+'4 a Intézmények'!CE71</f>
        <v>375191273</v>
      </c>
      <c r="D71" s="1091">
        <f>'4 bbb Önkorm'!BQ71+'4 ba Polg Hiv'!BE75+'4 a Intézmények'!CF71</f>
        <v>-1530000</v>
      </c>
      <c r="E71" s="1013">
        <f>'4 bbb Önkorm'!BR71+'4 ba Polg Hiv'!BF75+'4 a Intézmények'!CG71</f>
        <v>335307151</v>
      </c>
      <c r="F71" s="1013">
        <f>'4 bbb Önkorm'!BS71+'4 ba Polg Hiv'!BG75+'4 a Intézmények'!CH71</f>
        <v>331874792</v>
      </c>
      <c r="G71" s="1099"/>
      <c r="H71" s="1094"/>
      <c r="I71" s="1084"/>
      <c r="J71" s="1099">
        <f t="shared" si="40"/>
        <v>0</v>
      </c>
      <c r="K71" s="1100"/>
      <c r="L71" s="1099"/>
      <c r="M71" s="1094"/>
      <c r="N71" s="1084"/>
      <c r="O71" s="1099">
        <f t="shared" si="41"/>
        <v>0</v>
      </c>
      <c r="P71" s="1099"/>
      <c r="Q71" s="1106">
        <f t="shared" si="47"/>
        <v>0</v>
      </c>
      <c r="R71" s="1106">
        <f t="shared" si="42"/>
        <v>0</v>
      </c>
      <c r="S71" s="1097">
        <f t="shared" si="43"/>
        <v>0</v>
      </c>
      <c r="T71" s="1013">
        <f t="shared" si="44"/>
        <v>0</v>
      </c>
      <c r="U71" s="1020"/>
      <c r="V71" s="1007">
        <f t="shared" si="48"/>
        <v>375191273</v>
      </c>
      <c r="W71" s="1007">
        <f t="shared" si="45"/>
        <v>375191273</v>
      </c>
      <c r="X71" s="1219">
        <f t="shared" si="46"/>
        <v>-1530000</v>
      </c>
      <c r="Y71" s="1013">
        <f t="shared" si="49"/>
        <v>335307151</v>
      </c>
      <c r="Z71" s="1013">
        <f t="shared" si="49"/>
        <v>331874792</v>
      </c>
    </row>
    <row r="72" spans="1:26" ht="15" customHeight="1">
      <c r="A72" s="1092" t="s">
        <v>749</v>
      </c>
      <c r="B72" s="1067">
        <f>'4 bbb Önkorm'!BO72+'4 ba Polg Hiv'!BC76+'4 a Intézmények'!CD72</f>
        <v>0</v>
      </c>
      <c r="C72" s="1067">
        <f>'4 bbb Önkorm'!BP72+'4 ba Polg Hiv'!BD76+'4 a Intézmények'!CE72</f>
        <v>0</v>
      </c>
      <c r="D72" s="1091">
        <f>'4 bbb Önkorm'!BQ72+'4 ba Polg Hiv'!BE76+'4 a Intézmények'!CF72</f>
        <v>0</v>
      </c>
      <c r="E72" s="1013">
        <f>'4 bbb Önkorm'!BR72+'4 ba Polg Hiv'!BF76+'4 a Intézmények'!CG72</f>
        <v>0</v>
      </c>
      <c r="F72" s="1013">
        <f>'4 bbb Önkorm'!BS72+'4 ba Polg Hiv'!BG76+'4 a Intézmények'!CH72</f>
        <v>91402576</v>
      </c>
      <c r="G72" s="1099"/>
      <c r="H72" s="1094"/>
      <c r="I72" s="1084"/>
      <c r="J72" s="1099">
        <f t="shared" si="40"/>
        <v>0</v>
      </c>
      <c r="K72" s="1100"/>
      <c r="L72" s="1099"/>
      <c r="M72" s="1094"/>
      <c r="N72" s="1084"/>
      <c r="O72" s="1099">
        <f t="shared" si="41"/>
        <v>0</v>
      </c>
      <c r="P72" s="1099"/>
      <c r="Q72" s="1106">
        <f t="shared" si="47"/>
        <v>0</v>
      </c>
      <c r="R72" s="1106">
        <f t="shared" si="42"/>
        <v>0</v>
      </c>
      <c r="S72" s="1097">
        <f t="shared" si="43"/>
        <v>0</v>
      </c>
      <c r="T72" s="1013">
        <f t="shared" si="44"/>
        <v>0</v>
      </c>
      <c r="U72" s="1020"/>
      <c r="V72" s="1007">
        <f t="shared" si="48"/>
        <v>0</v>
      </c>
      <c r="W72" s="1007">
        <f t="shared" si="45"/>
        <v>0</v>
      </c>
      <c r="X72" s="1219">
        <f t="shared" si="46"/>
        <v>0</v>
      </c>
      <c r="Y72" s="1013">
        <f t="shared" si="49"/>
        <v>0</v>
      </c>
      <c r="Z72" s="1013">
        <f t="shared" si="49"/>
        <v>91402576</v>
      </c>
    </row>
    <row r="73" spans="1:26" ht="15" customHeight="1">
      <c r="A73" s="1107" t="s">
        <v>750</v>
      </c>
      <c r="B73" s="1067">
        <f>'4 bbb Önkorm'!BO73+'4 ba Polg Hiv'!BC77+'4 a Intézmények'!CD73</f>
        <v>913335063</v>
      </c>
      <c r="C73" s="1067">
        <f>'4 bbb Önkorm'!BP73+'4 ba Polg Hiv'!BD77+'4 a Intézmények'!CE73</f>
        <v>932354788</v>
      </c>
      <c r="D73" s="1091">
        <f>'4 bbb Önkorm'!BQ73+'4 ba Polg Hiv'!BE77+'4 a Intézmények'!CF73</f>
        <v>12906772</v>
      </c>
      <c r="E73" s="1013">
        <f>'4 bbb Önkorm'!BR73+'4 ba Polg Hiv'!BF77+'4 a Intézmények'!CG73</f>
        <v>1094378221</v>
      </c>
      <c r="F73" s="1013">
        <f>'4 bbb Önkorm'!BS73+'4 ba Polg Hiv'!BG77+'4 a Intézmények'!CH73</f>
        <v>951152562</v>
      </c>
      <c r="G73" s="1099"/>
      <c r="H73" s="1094"/>
      <c r="I73" s="1084"/>
      <c r="J73" s="1099">
        <f t="shared" si="40"/>
        <v>0</v>
      </c>
      <c r="K73" s="1100"/>
      <c r="L73" s="1099"/>
      <c r="M73" s="1094"/>
      <c r="N73" s="1084"/>
      <c r="O73" s="1099">
        <f t="shared" si="41"/>
        <v>0</v>
      </c>
      <c r="P73" s="1099"/>
      <c r="Q73" s="1106">
        <f t="shared" si="47"/>
        <v>0</v>
      </c>
      <c r="R73" s="1106">
        <f t="shared" si="42"/>
        <v>0</v>
      </c>
      <c r="S73" s="1097">
        <f t="shared" si="43"/>
        <v>0</v>
      </c>
      <c r="T73" s="1013">
        <f t="shared" si="44"/>
        <v>0</v>
      </c>
      <c r="U73" s="1020"/>
      <c r="V73" s="1007">
        <f t="shared" si="48"/>
        <v>913335063</v>
      </c>
      <c r="W73" s="1007">
        <f t="shared" si="45"/>
        <v>932354788</v>
      </c>
      <c r="X73" s="1219">
        <f t="shared" si="46"/>
        <v>12906772</v>
      </c>
      <c r="Y73" s="1013">
        <f t="shared" si="49"/>
        <v>1094378221</v>
      </c>
      <c r="Z73" s="1013">
        <f t="shared" si="49"/>
        <v>951152562</v>
      </c>
    </row>
    <row r="74" spans="1:26" ht="34.5" hidden="1" customHeight="1">
      <c r="A74" s="1107" t="s">
        <v>751</v>
      </c>
      <c r="B74" s="1067">
        <f>'4 bbb Önkorm'!BO74+'4 ba Polg Hiv'!BC78+'4 a Intézmények'!CD74</f>
        <v>0</v>
      </c>
      <c r="C74" s="1067">
        <f>'4 bbb Önkorm'!BP74+'4 ba Polg Hiv'!BD78+'4 a Intézmények'!CE74</f>
        <v>0</v>
      </c>
      <c r="D74" s="1091">
        <f>'4 bbb Önkorm'!BQ74+'4 ba Polg Hiv'!BE78+'4 a Intézmények'!CF74</f>
        <v>0</v>
      </c>
      <c r="E74" s="1013">
        <f>'4 bbb Önkorm'!BR74+'4 ba Polg Hiv'!BF78+'4 a Intézmények'!CG74</f>
        <v>0</v>
      </c>
      <c r="F74" s="1013">
        <f>'4 bbb Önkorm'!BS74+'4 ba Polg Hiv'!BG78+'4 a Intézmények'!CH74</f>
        <v>0</v>
      </c>
      <c r="G74" s="1099"/>
      <c r="H74" s="1094"/>
      <c r="I74" s="1084"/>
      <c r="J74" s="1099">
        <f t="shared" si="40"/>
        <v>0</v>
      </c>
      <c r="K74" s="1100"/>
      <c r="L74" s="1099"/>
      <c r="M74" s="1094"/>
      <c r="N74" s="1084"/>
      <c r="O74" s="1099">
        <f t="shared" si="41"/>
        <v>0</v>
      </c>
      <c r="P74" s="1099"/>
      <c r="Q74" s="1106">
        <f t="shared" si="47"/>
        <v>0</v>
      </c>
      <c r="R74" s="1106">
        <f t="shared" si="42"/>
        <v>0</v>
      </c>
      <c r="S74" s="1097">
        <f t="shared" si="43"/>
        <v>0</v>
      </c>
      <c r="T74" s="1013">
        <f t="shared" si="44"/>
        <v>0</v>
      </c>
      <c r="U74" s="1020"/>
      <c r="V74" s="1007">
        <f t="shared" si="48"/>
        <v>0</v>
      </c>
      <c r="W74" s="1007">
        <f t="shared" si="45"/>
        <v>0</v>
      </c>
      <c r="X74" s="1219">
        <f t="shared" si="46"/>
        <v>0</v>
      </c>
      <c r="Y74" s="1013">
        <f t="shared" si="49"/>
        <v>0</v>
      </c>
      <c r="Z74" s="1013">
        <f t="shared" si="49"/>
        <v>0</v>
      </c>
    </row>
    <row r="75" spans="1:26" ht="15" customHeight="1">
      <c r="A75" s="630" t="s">
        <v>752</v>
      </c>
      <c r="B75" s="1067">
        <f>'4 bbb Önkorm'!BO75+'4 ba Polg Hiv'!BC79+'4 a Intézmények'!CD75</f>
        <v>0</v>
      </c>
      <c r="C75" s="1067">
        <f>'4 bbb Önkorm'!BP75+'4 ba Polg Hiv'!BD79+'4 a Intézmények'!CE75</f>
        <v>0</v>
      </c>
      <c r="D75" s="1091">
        <f>'4 bbb Önkorm'!BQ75+'4 ba Polg Hiv'!BE79+'4 a Intézmények'!CF75</f>
        <v>0</v>
      </c>
      <c r="E75" s="1013">
        <f>'4 bbb Önkorm'!BR75+'4 ba Polg Hiv'!BF79+'4 a Intézmények'!CG75</f>
        <v>0</v>
      </c>
      <c r="F75" s="1013">
        <f>'4 bbb Önkorm'!BS75+'4 ba Polg Hiv'!BG79+'4 a Intézmények'!CH75</f>
        <v>0</v>
      </c>
      <c r="G75" s="1099"/>
      <c r="H75" s="1094"/>
      <c r="I75" s="1084"/>
      <c r="J75" s="1099">
        <f t="shared" si="40"/>
        <v>0</v>
      </c>
      <c r="K75" s="1100"/>
      <c r="L75" s="1099"/>
      <c r="M75" s="1094"/>
      <c r="N75" s="1084"/>
      <c r="O75" s="1099">
        <f t="shared" si="41"/>
        <v>0</v>
      </c>
      <c r="P75" s="1099"/>
      <c r="Q75" s="1106">
        <f t="shared" si="47"/>
        <v>0</v>
      </c>
      <c r="R75" s="1106">
        <f t="shared" si="42"/>
        <v>0</v>
      </c>
      <c r="S75" s="1097">
        <f t="shared" si="43"/>
        <v>0</v>
      </c>
      <c r="T75" s="1013">
        <f t="shared" si="44"/>
        <v>0</v>
      </c>
      <c r="U75" s="1020"/>
      <c r="V75" s="1007">
        <f t="shared" si="48"/>
        <v>0</v>
      </c>
      <c r="W75" s="1007">
        <f t="shared" si="45"/>
        <v>0</v>
      </c>
      <c r="X75" s="1219">
        <f t="shared" si="46"/>
        <v>0</v>
      </c>
      <c r="Y75" s="1013">
        <f t="shared" si="49"/>
        <v>0</v>
      </c>
      <c r="Z75" s="1013">
        <f t="shared" si="49"/>
        <v>0</v>
      </c>
    </row>
    <row r="76" spans="1:26" ht="15" customHeight="1">
      <c r="A76" s="630" t="s">
        <v>753</v>
      </c>
      <c r="B76" s="1067">
        <f>'4 bbb Önkorm'!BO76+'4 ba Polg Hiv'!BC80+'4 a Intézmények'!CD76</f>
        <v>0</v>
      </c>
      <c r="C76" s="1067">
        <f>'4 bbb Önkorm'!BP76+'4 ba Polg Hiv'!BD80+'4 a Intézmények'!CE76</f>
        <v>0</v>
      </c>
      <c r="D76" s="1091">
        <f>'4 bbb Önkorm'!BQ76+'4 ba Polg Hiv'!BE80+'4 a Intézmények'!CF76</f>
        <v>0</v>
      </c>
      <c r="E76" s="1013">
        <f>'4 bbb Önkorm'!BR76+'4 ba Polg Hiv'!BF80+'4 a Intézmények'!CG76</f>
        <v>2516743</v>
      </c>
      <c r="F76" s="1013">
        <f>'4 bbb Önkorm'!BS76+'4 ba Polg Hiv'!BG80+'4 a Intézmények'!CH76</f>
        <v>1207850</v>
      </c>
      <c r="G76" s="1099"/>
      <c r="H76" s="1094"/>
      <c r="I76" s="1084"/>
      <c r="J76" s="1099">
        <f t="shared" si="40"/>
        <v>0</v>
      </c>
      <c r="K76" s="1100"/>
      <c r="L76" s="1099"/>
      <c r="M76" s="1094"/>
      <c r="N76" s="1084"/>
      <c r="O76" s="1099">
        <f t="shared" si="41"/>
        <v>0</v>
      </c>
      <c r="P76" s="1099"/>
      <c r="Q76" s="1106">
        <f t="shared" si="47"/>
        <v>0</v>
      </c>
      <c r="R76" s="1106">
        <f t="shared" si="42"/>
        <v>0</v>
      </c>
      <c r="S76" s="1097">
        <f t="shared" si="43"/>
        <v>0</v>
      </c>
      <c r="T76" s="1013">
        <f t="shared" si="44"/>
        <v>0</v>
      </c>
      <c r="U76" s="1020"/>
      <c r="V76" s="1007">
        <f t="shared" si="48"/>
        <v>0</v>
      </c>
      <c r="W76" s="1007">
        <f t="shared" si="45"/>
        <v>0</v>
      </c>
      <c r="X76" s="1219">
        <f t="shared" si="46"/>
        <v>0</v>
      </c>
      <c r="Y76" s="1013">
        <f t="shared" si="49"/>
        <v>2516743</v>
      </c>
      <c r="Z76" s="1013">
        <f t="shared" si="49"/>
        <v>1207850</v>
      </c>
    </row>
    <row r="77" spans="1:26" s="630" customFormat="1" ht="15" customHeight="1">
      <c r="A77" s="1054" t="s">
        <v>754</v>
      </c>
      <c r="B77" s="1023">
        <f t="shared" ref="B77:Z77" si="50">SUM(B63:B76)</f>
        <v>12843474285</v>
      </c>
      <c r="C77" s="1023">
        <f t="shared" si="50"/>
        <v>13063106966</v>
      </c>
      <c r="D77" s="1023">
        <f t="shared" si="50"/>
        <v>269650</v>
      </c>
      <c r="E77" s="1023">
        <f t="shared" si="50"/>
        <v>13614434182</v>
      </c>
      <c r="F77" s="1023">
        <f t="shared" si="50"/>
        <v>13544735900</v>
      </c>
      <c r="G77" s="1198">
        <f t="shared" si="50"/>
        <v>0</v>
      </c>
      <c r="H77" s="1198">
        <f t="shared" si="50"/>
        <v>0</v>
      </c>
      <c r="I77" s="1198">
        <f t="shared" si="50"/>
        <v>0</v>
      </c>
      <c r="J77" s="1198">
        <f t="shared" si="50"/>
        <v>0</v>
      </c>
      <c r="K77" s="1198">
        <f t="shared" si="50"/>
        <v>0</v>
      </c>
      <c r="L77" s="1198">
        <f t="shared" si="50"/>
        <v>0</v>
      </c>
      <c r="M77" s="1198">
        <f t="shared" si="50"/>
        <v>0</v>
      </c>
      <c r="N77" s="1198">
        <f t="shared" si="50"/>
        <v>0</v>
      </c>
      <c r="O77" s="1198">
        <f t="shared" si="50"/>
        <v>0</v>
      </c>
      <c r="P77" s="1198">
        <f t="shared" si="50"/>
        <v>0</v>
      </c>
      <c r="Q77" s="1023">
        <f t="shared" si="50"/>
        <v>0</v>
      </c>
      <c r="R77" s="1023">
        <f t="shared" si="50"/>
        <v>0</v>
      </c>
      <c r="S77" s="1023">
        <f t="shared" si="50"/>
        <v>0</v>
      </c>
      <c r="T77" s="1023">
        <f t="shared" si="50"/>
        <v>0</v>
      </c>
      <c r="U77" s="1023">
        <f t="shared" si="50"/>
        <v>0</v>
      </c>
      <c r="V77" s="1023">
        <f t="shared" si="50"/>
        <v>12843474285</v>
      </c>
      <c r="W77" s="1023">
        <f t="shared" si="50"/>
        <v>13063106966</v>
      </c>
      <c r="X77" s="1023">
        <f t="shared" si="50"/>
        <v>269650</v>
      </c>
      <c r="Y77" s="1023">
        <f t="shared" si="50"/>
        <v>13614434182</v>
      </c>
      <c r="Z77" s="1023">
        <f t="shared" si="50"/>
        <v>13544735900</v>
      </c>
    </row>
    <row r="78" spans="1:26" ht="15" customHeight="1">
      <c r="A78" s="630" t="s">
        <v>755</v>
      </c>
      <c r="B78" s="1067">
        <f>'4 bbb Önkorm'!BO78+'4 ba Polg Hiv'!BC82+'4 a Intézmények'!CD78</f>
        <v>286000000</v>
      </c>
      <c r="C78" s="1067">
        <f>'4 bbb Önkorm'!BP78+'4 ba Polg Hiv'!BD82+'4 a Intézmények'!CE78</f>
        <v>306000000</v>
      </c>
      <c r="D78" s="1091">
        <f>'4 bbb Önkorm'!BQ78+'4 ba Polg Hiv'!BE82+'4 a Intézmények'!CF78</f>
        <v>0</v>
      </c>
      <c r="E78" s="1015">
        <f>'4 bbb Önkorm'!BR78+'4 ba Polg Hiv'!BF82+'4 a Intézmények'!CG78</f>
        <v>307278246</v>
      </c>
      <c r="F78" s="1020">
        <f>'4 bbb Önkorm'!BS78+'4 ba Polg Hiv'!BG82+'4 a Intézmények'!CH78</f>
        <v>264123101</v>
      </c>
      <c r="G78" s="1010"/>
      <c r="H78" s="1011"/>
      <c r="I78" s="1009"/>
      <c r="J78" s="1010">
        <f t="shared" ref="J78:J85" si="51">SUM(H78+I78)</f>
        <v>0</v>
      </c>
      <c r="K78" s="1100"/>
      <c r="L78" s="1010"/>
      <c r="M78" s="1011"/>
      <c r="N78" s="1009"/>
      <c r="O78" s="1010">
        <f t="shared" ref="O78:O85" si="52">SUM(M78+N78)</f>
        <v>0</v>
      </c>
      <c r="P78" s="1099"/>
      <c r="Q78" s="1106">
        <f t="shared" ref="Q78:S85" si="53">G78+L78</f>
        <v>0</v>
      </c>
      <c r="R78" s="1106">
        <f t="shared" si="53"/>
        <v>0</v>
      </c>
      <c r="S78" s="1097">
        <f t="shared" si="53"/>
        <v>0</v>
      </c>
      <c r="T78" s="1015">
        <f t="shared" ref="T78:T85" si="54">SUM(R78+S78)</f>
        <v>0</v>
      </c>
      <c r="U78" s="1020"/>
      <c r="V78" s="1007">
        <f t="shared" ref="V78:Z85" si="55">B78+Q78</f>
        <v>286000000</v>
      </c>
      <c r="W78" s="1007">
        <f t="shared" si="55"/>
        <v>306000000</v>
      </c>
      <c r="X78" s="1219">
        <f t="shared" si="55"/>
        <v>0</v>
      </c>
      <c r="Y78" s="1015">
        <f t="shared" si="55"/>
        <v>307278246</v>
      </c>
      <c r="Z78" s="1015">
        <f t="shared" si="55"/>
        <v>264123101</v>
      </c>
    </row>
    <row r="79" spans="1:26" ht="34.5" hidden="1" customHeight="1">
      <c r="A79" s="630" t="s">
        <v>756</v>
      </c>
      <c r="B79" s="1067">
        <f>'4 bbb Önkorm'!BO79+'4 ba Polg Hiv'!BC83+'4 a Intézmények'!CD79</f>
        <v>0</v>
      </c>
      <c r="C79" s="1067">
        <f>'4 bbb Önkorm'!BP79+'4 ba Polg Hiv'!BD83+'4 a Intézmények'!CE79</f>
        <v>0</v>
      </c>
      <c r="D79" s="1091">
        <f>'4 bbb Önkorm'!BQ79+'4 ba Polg Hiv'!BE83+'4 a Intézmények'!CF79</f>
        <v>0</v>
      </c>
      <c r="E79" s="1013">
        <f>'4 bbb Önkorm'!BR79+'4 ba Polg Hiv'!BF83+'4 a Intézmények'!CG79</f>
        <v>0</v>
      </c>
      <c r="F79" s="1020">
        <f>'4 bbb Önkorm'!BS79+'4 ba Polg Hiv'!BG83+'4 a Intézmények'!CH79</f>
        <v>0</v>
      </c>
      <c r="G79" s="1099"/>
      <c r="H79" s="1094"/>
      <c r="I79" s="1084"/>
      <c r="J79" s="1099">
        <f t="shared" si="51"/>
        <v>0</v>
      </c>
      <c r="K79" s="1100"/>
      <c r="L79" s="1099"/>
      <c r="M79" s="1094"/>
      <c r="N79" s="1084"/>
      <c r="O79" s="1099">
        <f t="shared" si="52"/>
        <v>0</v>
      </c>
      <c r="P79" s="1099"/>
      <c r="Q79" s="1106">
        <f t="shared" si="53"/>
        <v>0</v>
      </c>
      <c r="R79" s="1106">
        <f t="shared" si="53"/>
        <v>0</v>
      </c>
      <c r="S79" s="1097">
        <f t="shared" si="53"/>
        <v>0</v>
      </c>
      <c r="T79" s="1013">
        <f t="shared" si="54"/>
        <v>0</v>
      </c>
      <c r="U79" s="1020"/>
      <c r="V79" s="1007">
        <f t="shared" si="55"/>
        <v>0</v>
      </c>
      <c r="W79" s="1007">
        <f t="shared" si="55"/>
        <v>0</v>
      </c>
      <c r="X79" s="1219">
        <f t="shared" si="55"/>
        <v>0</v>
      </c>
      <c r="Y79" s="1013">
        <f t="shared" si="55"/>
        <v>0</v>
      </c>
      <c r="Z79" s="1015">
        <f t="shared" si="55"/>
        <v>0</v>
      </c>
    </row>
    <row r="80" spans="1:26" ht="15" customHeight="1">
      <c r="A80" s="630" t="s">
        <v>757</v>
      </c>
      <c r="B80" s="1067">
        <f>'4 bbb Önkorm'!BO80+'4 ba Polg Hiv'!BC84+'4 a Intézmények'!CD80</f>
        <v>0</v>
      </c>
      <c r="C80" s="1067">
        <f>'4 bbb Önkorm'!BP80+'4 ba Polg Hiv'!BD84+'4 a Intézmények'!CE80</f>
        <v>0</v>
      </c>
      <c r="D80" s="1091">
        <f>'4 bbb Önkorm'!BQ80+'4 ba Polg Hiv'!BE84+'4 a Intézmények'!CF80</f>
        <v>743400000</v>
      </c>
      <c r="E80" s="1013">
        <f>'4 bbb Önkorm'!BR80+'4 ba Polg Hiv'!BF84+'4 a Intézmények'!CG80</f>
        <v>746917000</v>
      </c>
      <c r="F80" s="1020">
        <f>'4 bbb Önkorm'!BS80+'4 ba Polg Hiv'!BG84+'4 a Intézmények'!CH80</f>
        <v>746917000</v>
      </c>
      <c r="G80" s="1099"/>
      <c r="H80" s="1094"/>
      <c r="I80" s="1084"/>
      <c r="J80" s="1099">
        <f t="shared" si="51"/>
        <v>0</v>
      </c>
      <c r="K80" s="1100"/>
      <c r="L80" s="1099"/>
      <c r="M80" s="1094"/>
      <c r="N80" s="1084"/>
      <c r="O80" s="1099">
        <f t="shared" si="52"/>
        <v>0</v>
      </c>
      <c r="P80" s="1099"/>
      <c r="Q80" s="1106">
        <f t="shared" si="53"/>
        <v>0</v>
      </c>
      <c r="R80" s="1106">
        <f t="shared" si="53"/>
        <v>0</v>
      </c>
      <c r="S80" s="1097">
        <f t="shared" si="53"/>
        <v>0</v>
      </c>
      <c r="T80" s="1013">
        <f t="shared" si="54"/>
        <v>0</v>
      </c>
      <c r="U80" s="1020"/>
      <c r="V80" s="1007">
        <f t="shared" si="55"/>
        <v>0</v>
      </c>
      <c r="W80" s="1007">
        <f t="shared" si="55"/>
        <v>0</v>
      </c>
      <c r="X80" s="1219">
        <f t="shared" si="55"/>
        <v>743400000</v>
      </c>
      <c r="Y80" s="1013">
        <f t="shared" si="55"/>
        <v>746917000</v>
      </c>
      <c r="Z80" s="1015">
        <f t="shared" si="55"/>
        <v>746917000</v>
      </c>
    </row>
    <row r="81" spans="1:82" ht="15" customHeight="1">
      <c r="A81" s="630" t="s">
        <v>758</v>
      </c>
      <c r="B81" s="1067">
        <f>'4 bbb Önkorm'!BO81+'4 ba Polg Hiv'!BC85+'4 a Intézmények'!CD81</f>
        <v>0</v>
      </c>
      <c r="C81" s="1067">
        <f>'4 bbb Önkorm'!BP81+'4 ba Polg Hiv'!BD85+'4 a Intézmények'!CE81</f>
        <v>0</v>
      </c>
      <c r="D81" s="1091">
        <f>'4 bbb Önkorm'!BQ81+'4 ba Polg Hiv'!BE85+'4 a Intézmények'!CF81</f>
        <v>0</v>
      </c>
      <c r="E81" s="1013">
        <f>'4 bbb Önkorm'!BR81+'4 ba Polg Hiv'!BF85+'4 a Intézmények'!CG81</f>
        <v>0</v>
      </c>
      <c r="F81" s="1020">
        <f>'4 bbb Önkorm'!BS81+'4 ba Polg Hiv'!BG85+'4 a Intézmények'!CH81</f>
        <v>0</v>
      </c>
      <c r="G81" s="1099"/>
      <c r="H81" s="1094"/>
      <c r="I81" s="1084"/>
      <c r="J81" s="1099">
        <f t="shared" si="51"/>
        <v>0</v>
      </c>
      <c r="K81" s="1100"/>
      <c r="L81" s="1099"/>
      <c r="M81" s="1094"/>
      <c r="N81" s="1084"/>
      <c r="O81" s="1099">
        <f t="shared" si="52"/>
        <v>0</v>
      </c>
      <c r="P81" s="1099"/>
      <c r="Q81" s="1106">
        <f t="shared" si="53"/>
        <v>0</v>
      </c>
      <c r="R81" s="1106">
        <f t="shared" si="53"/>
        <v>0</v>
      </c>
      <c r="S81" s="1097">
        <f t="shared" si="53"/>
        <v>0</v>
      </c>
      <c r="T81" s="1013">
        <f t="shared" si="54"/>
        <v>0</v>
      </c>
      <c r="U81" s="1020"/>
      <c r="V81" s="1007">
        <f t="shared" si="55"/>
        <v>0</v>
      </c>
      <c r="W81" s="1007">
        <f t="shared" si="55"/>
        <v>0</v>
      </c>
      <c r="X81" s="1219">
        <f t="shared" si="55"/>
        <v>0</v>
      </c>
      <c r="Y81" s="1013">
        <f t="shared" si="55"/>
        <v>0</v>
      </c>
      <c r="Z81" s="1015">
        <f t="shared" si="55"/>
        <v>0</v>
      </c>
    </row>
    <row r="82" spans="1:82" ht="14.25" customHeight="1">
      <c r="A82" s="630" t="s">
        <v>759</v>
      </c>
      <c r="B82" s="1067">
        <f>'4 bbb Önkorm'!BO82+'4 ba Polg Hiv'!BC86+'4 a Intézmények'!CD82</f>
        <v>715178000</v>
      </c>
      <c r="C82" s="1067">
        <f>'4 bbb Önkorm'!BP82+'4 ba Polg Hiv'!BD86+'4 a Intézmények'!CE82</f>
        <v>722273930</v>
      </c>
      <c r="D82" s="1091">
        <f>'4 bbb Önkorm'!BQ82+'4 ba Polg Hiv'!BE86+'4 a Intézmények'!CF82</f>
        <v>-710058000</v>
      </c>
      <c r="E82" s="1013">
        <f>'4 bbb Önkorm'!BR82+'4 ba Polg Hiv'!BF86+'4 a Intézmények'!CG82</f>
        <v>18302202</v>
      </c>
      <c r="F82" s="1020">
        <f>'4 bbb Önkorm'!BS82+'4 ba Polg Hiv'!BG86+'4 a Intézmények'!CH82</f>
        <v>17102202</v>
      </c>
      <c r="G82" s="1099"/>
      <c r="H82" s="1094"/>
      <c r="I82" s="1084"/>
      <c r="J82" s="1099">
        <f t="shared" si="51"/>
        <v>0</v>
      </c>
      <c r="K82" s="1100"/>
      <c r="L82" s="1099"/>
      <c r="M82" s="1094"/>
      <c r="N82" s="1084"/>
      <c r="O82" s="1099">
        <f t="shared" si="52"/>
        <v>0</v>
      </c>
      <c r="P82" s="1099"/>
      <c r="Q82" s="1106">
        <f t="shared" si="53"/>
        <v>0</v>
      </c>
      <c r="R82" s="1106">
        <f t="shared" si="53"/>
        <v>0</v>
      </c>
      <c r="S82" s="1097">
        <f t="shared" si="53"/>
        <v>0</v>
      </c>
      <c r="T82" s="1013">
        <f t="shared" si="54"/>
        <v>0</v>
      </c>
      <c r="U82" s="1020"/>
      <c r="V82" s="1007">
        <f t="shared" si="55"/>
        <v>715178000</v>
      </c>
      <c r="W82" s="1007">
        <f t="shared" si="55"/>
        <v>722273930</v>
      </c>
      <c r="X82" s="1219">
        <f t="shared" si="55"/>
        <v>-710058000</v>
      </c>
      <c r="Y82" s="1013">
        <f t="shared" si="55"/>
        <v>18302202</v>
      </c>
      <c r="Z82" s="1015">
        <f t="shared" si="55"/>
        <v>17102202</v>
      </c>
    </row>
    <row r="83" spans="1:82" ht="14.25" customHeight="1">
      <c r="A83" s="630" t="s">
        <v>760</v>
      </c>
      <c r="B83" s="1067">
        <f>'4 bbb Önkorm'!BO83+'4 ba Polg Hiv'!BC87+'4 a Intézmények'!CD83</f>
        <v>0</v>
      </c>
      <c r="C83" s="1067">
        <f>'4 bbb Önkorm'!BP83+'4 ba Polg Hiv'!BD87+'4 a Intézmények'!CE83</f>
        <v>0</v>
      </c>
      <c r="D83" s="1091">
        <f>'4 bbb Önkorm'!BQ83+'4 ba Polg Hiv'!BE87+'4 a Intézmények'!CF83</f>
        <v>0</v>
      </c>
      <c r="E83" s="1013">
        <f>'4 bbb Önkorm'!BR83+'4 ba Polg Hiv'!BF87+'4 a Intézmények'!CG83</f>
        <v>0</v>
      </c>
      <c r="F83" s="1020">
        <f>'4 bbb Önkorm'!BS83+'4 ba Polg Hiv'!BG87+'4 a Intézmények'!CH83</f>
        <v>0</v>
      </c>
      <c r="G83" s="1099"/>
      <c r="H83" s="1094"/>
      <c r="I83" s="1084"/>
      <c r="J83" s="1099">
        <f t="shared" si="51"/>
        <v>0</v>
      </c>
      <c r="K83" s="1100"/>
      <c r="L83" s="1099"/>
      <c r="M83" s="1094"/>
      <c r="N83" s="1084"/>
      <c r="O83" s="1099">
        <f t="shared" si="52"/>
        <v>0</v>
      </c>
      <c r="P83" s="1099"/>
      <c r="Q83" s="1106">
        <f t="shared" si="53"/>
        <v>0</v>
      </c>
      <c r="R83" s="1106">
        <f t="shared" si="53"/>
        <v>0</v>
      </c>
      <c r="S83" s="1097">
        <f t="shared" si="53"/>
        <v>0</v>
      </c>
      <c r="T83" s="1013">
        <f t="shared" si="54"/>
        <v>0</v>
      </c>
      <c r="U83" s="1020"/>
      <c r="V83" s="1007">
        <f t="shared" si="55"/>
        <v>0</v>
      </c>
      <c r="W83" s="1007">
        <f t="shared" si="55"/>
        <v>0</v>
      </c>
      <c r="X83" s="1219">
        <f t="shared" si="55"/>
        <v>0</v>
      </c>
      <c r="Y83" s="1013">
        <f t="shared" si="55"/>
        <v>0</v>
      </c>
      <c r="Z83" s="1015">
        <f t="shared" si="55"/>
        <v>0</v>
      </c>
    </row>
    <row r="84" spans="1:82" ht="14.25" customHeight="1">
      <c r="A84" s="630" t="s">
        <v>761</v>
      </c>
      <c r="B84" s="1067">
        <f>'4 bbb Önkorm'!BO84+'4 ba Polg Hiv'!BC88+'4 a Intézmények'!CD84</f>
        <v>80300000</v>
      </c>
      <c r="C84" s="1067">
        <f>'4 bbb Önkorm'!BP84+'4 ba Polg Hiv'!BD88+'4 a Intézmények'!CE84</f>
        <v>80300000</v>
      </c>
      <c r="D84" s="1091">
        <f>'4 bbb Önkorm'!BQ84+'4 ba Polg Hiv'!BE88+'4 a Intézmények'!CF84</f>
        <v>0</v>
      </c>
      <c r="E84" s="1013">
        <f>'4 bbb Önkorm'!BR84+'4 ba Polg Hiv'!BF88+'4 a Intézmények'!CG84</f>
        <v>87601641</v>
      </c>
      <c r="F84" s="1020">
        <f>'4 bbb Önkorm'!BS84+'4 ba Polg Hiv'!BG88+'4 a Intézmények'!CH84</f>
        <v>82046717</v>
      </c>
      <c r="G84" s="1099"/>
      <c r="H84" s="1094"/>
      <c r="I84" s="1084"/>
      <c r="J84" s="1099">
        <f t="shared" si="51"/>
        <v>0</v>
      </c>
      <c r="K84" s="1100"/>
      <c r="L84" s="1099"/>
      <c r="M84" s="1094"/>
      <c r="N84" s="1084"/>
      <c r="O84" s="1099">
        <f t="shared" si="52"/>
        <v>0</v>
      </c>
      <c r="P84" s="1099"/>
      <c r="Q84" s="1106">
        <f t="shared" si="53"/>
        <v>0</v>
      </c>
      <c r="R84" s="1106">
        <f t="shared" si="53"/>
        <v>0</v>
      </c>
      <c r="S84" s="1097">
        <f t="shared" si="53"/>
        <v>0</v>
      </c>
      <c r="T84" s="1013">
        <f t="shared" si="54"/>
        <v>0</v>
      </c>
      <c r="U84" s="1020"/>
      <c r="V84" s="1007">
        <f t="shared" si="55"/>
        <v>80300000</v>
      </c>
      <c r="W84" s="1007">
        <f t="shared" si="55"/>
        <v>80300000</v>
      </c>
      <c r="X84" s="1219">
        <f t="shared" si="55"/>
        <v>0</v>
      </c>
      <c r="Y84" s="1013">
        <f t="shared" si="55"/>
        <v>87601641</v>
      </c>
      <c r="Z84" s="1015">
        <f t="shared" si="55"/>
        <v>82046717</v>
      </c>
    </row>
    <row r="85" spans="1:82" ht="15" customHeight="1">
      <c r="A85" s="630" t="s">
        <v>762</v>
      </c>
      <c r="B85" s="1067">
        <f>'4 bbb Önkorm'!BO85+'4 ba Polg Hiv'!BC89+'4 a Intézmények'!CD85</f>
        <v>5000000</v>
      </c>
      <c r="C85" s="1067">
        <f>'4 bbb Önkorm'!BP85+'4 ba Polg Hiv'!BD89+'4 a Intézmények'!CE85</f>
        <v>5000000</v>
      </c>
      <c r="D85" s="1091">
        <f>'4 bbb Önkorm'!BQ85+'4 ba Polg Hiv'!BE89+'4 a Intézmények'!CF85</f>
        <v>0</v>
      </c>
      <c r="E85" s="1013">
        <f>'4 bbb Önkorm'!BR85+'4 ba Polg Hiv'!BF89+'4 a Intézmények'!CG85</f>
        <v>13675260</v>
      </c>
      <c r="F85" s="1020">
        <f>'4 bbb Önkorm'!BS85+'4 ba Polg Hiv'!BG89+'4 a Intézmények'!CH85</f>
        <v>12097538</v>
      </c>
      <c r="G85" s="1099"/>
      <c r="H85" s="1094"/>
      <c r="I85" s="1084"/>
      <c r="J85" s="1099">
        <f t="shared" si="51"/>
        <v>0</v>
      </c>
      <c r="K85" s="1100"/>
      <c r="L85" s="1099"/>
      <c r="M85" s="1094"/>
      <c r="N85" s="1084"/>
      <c r="O85" s="1099">
        <f t="shared" si="52"/>
        <v>0</v>
      </c>
      <c r="P85" s="1099"/>
      <c r="Q85" s="1106">
        <f t="shared" si="53"/>
        <v>0</v>
      </c>
      <c r="R85" s="1106">
        <f t="shared" si="53"/>
        <v>0</v>
      </c>
      <c r="S85" s="1097">
        <f t="shared" si="53"/>
        <v>0</v>
      </c>
      <c r="T85" s="1013">
        <f t="shared" si="54"/>
        <v>0</v>
      </c>
      <c r="U85" s="1020"/>
      <c r="V85" s="1007">
        <f t="shared" si="55"/>
        <v>5000000</v>
      </c>
      <c r="W85" s="1007">
        <f t="shared" si="55"/>
        <v>5000000</v>
      </c>
      <c r="X85" s="1219">
        <f t="shared" si="55"/>
        <v>0</v>
      </c>
      <c r="Y85" s="1013">
        <f t="shared" si="55"/>
        <v>13675260</v>
      </c>
      <c r="Z85" s="1015">
        <f t="shared" si="55"/>
        <v>12097538</v>
      </c>
    </row>
    <row r="86" spans="1:82" s="630" customFormat="1" ht="15" customHeight="1">
      <c r="A86" s="1055" t="s">
        <v>763</v>
      </c>
      <c r="B86" s="1023">
        <f t="shared" ref="B86:Z86" si="56">SUM(B78:B85)</f>
        <v>1086478000</v>
      </c>
      <c r="C86" s="1023">
        <f t="shared" si="56"/>
        <v>1113573930</v>
      </c>
      <c r="D86" s="1023">
        <f t="shared" si="56"/>
        <v>33342000</v>
      </c>
      <c r="E86" s="1023">
        <f t="shared" si="56"/>
        <v>1173774349</v>
      </c>
      <c r="F86" s="1023">
        <f t="shared" si="56"/>
        <v>1122286558</v>
      </c>
      <c r="G86" s="1198">
        <f t="shared" si="56"/>
        <v>0</v>
      </c>
      <c r="H86" s="1198">
        <f t="shared" si="56"/>
        <v>0</v>
      </c>
      <c r="I86" s="1198">
        <f t="shared" si="56"/>
        <v>0</v>
      </c>
      <c r="J86" s="1198">
        <f t="shared" si="56"/>
        <v>0</v>
      </c>
      <c r="K86" s="1198">
        <f t="shared" si="56"/>
        <v>0</v>
      </c>
      <c r="L86" s="1198">
        <f t="shared" si="56"/>
        <v>0</v>
      </c>
      <c r="M86" s="1198">
        <f t="shared" si="56"/>
        <v>0</v>
      </c>
      <c r="N86" s="1198">
        <f t="shared" si="56"/>
        <v>0</v>
      </c>
      <c r="O86" s="1198">
        <f t="shared" si="56"/>
        <v>0</v>
      </c>
      <c r="P86" s="1198">
        <f t="shared" si="56"/>
        <v>0</v>
      </c>
      <c r="Q86" s="1023">
        <f t="shared" si="56"/>
        <v>0</v>
      </c>
      <c r="R86" s="1023">
        <f t="shared" si="56"/>
        <v>0</v>
      </c>
      <c r="S86" s="1023">
        <f t="shared" si="56"/>
        <v>0</v>
      </c>
      <c r="T86" s="1023">
        <f t="shared" si="56"/>
        <v>0</v>
      </c>
      <c r="U86" s="1023">
        <f t="shared" si="56"/>
        <v>0</v>
      </c>
      <c r="V86" s="1023">
        <f t="shared" si="56"/>
        <v>1086478000</v>
      </c>
      <c r="W86" s="1023">
        <f t="shared" si="56"/>
        <v>1113573930</v>
      </c>
      <c r="X86" s="1023">
        <f t="shared" si="56"/>
        <v>33342000</v>
      </c>
      <c r="Y86" s="1023">
        <f t="shared" si="56"/>
        <v>1173774349</v>
      </c>
      <c r="Z86" s="1023">
        <f t="shared" si="56"/>
        <v>1122286558</v>
      </c>
    </row>
    <row r="87" spans="1:82" s="630" customFormat="1" ht="13.5" customHeight="1">
      <c r="A87" s="966" t="s">
        <v>764</v>
      </c>
      <c r="B87" s="1023">
        <f t="shared" ref="B87:Z87" si="57">B86+B77</f>
        <v>13929952285</v>
      </c>
      <c r="C87" s="1023">
        <f t="shared" si="57"/>
        <v>14176680896</v>
      </c>
      <c r="D87" s="1024">
        <f t="shared" si="57"/>
        <v>33611650</v>
      </c>
      <c r="E87" s="1023">
        <f t="shared" si="57"/>
        <v>14788208531</v>
      </c>
      <c r="F87" s="1023">
        <f t="shared" si="57"/>
        <v>14667022458</v>
      </c>
      <c r="G87" s="1023">
        <f t="shared" si="57"/>
        <v>0</v>
      </c>
      <c r="H87" s="1023">
        <f t="shared" si="57"/>
        <v>0</v>
      </c>
      <c r="I87" s="1024">
        <f t="shared" si="57"/>
        <v>0</v>
      </c>
      <c r="J87" s="1023">
        <f t="shared" si="57"/>
        <v>0</v>
      </c>
      <c r="K87" s="1024">
        <f t="shared" si="57"/>
        <v>0</v>
      </c>
      <c r="L87" s="1023">
        <f t="shared" si="57"/>
        <v>0</v>
      </c>
      <c r="M87" s="1023">
        <f t="shared" si="57"/>
        <v>0</v>
      </c>
      <c r="N87" s="1024">
        <f t="shared" si="57"/>
        <v>0</v>
      </c>
      <c r="O87" s="1023">
        <f t="shared" si="57"/>
        <v>0</v>
      </c>
      <c r="P87" s="1023">
        <f t="shared" si="57"/>
        <v>0</v>
      </c>
      <c r="Q87" s="1023">
        <f t="shared" si="57"/>
        <v>0</v>
      </c>
      <c r="R87" s="1023">
        <f t="shared" si="57"/>
        <v>0</v>
      </c>
      <c r="S87" s="1024">
        <f t="shared" si="57"/>
        <v>0</v>
      </c>
      <c r="T87" s="1023">
        <f t="shared" si="57"/>
        <v>0</v>
      </c>
      <c r="U87" s="1024">
        <f t="shared" si="57"/>
        <v>0</v>
      </c>
      <c r="V87" s="1023">
        <f t="shared" si="57"/>
        <v>13929952285</v>
      </c>
      <c r="W87" s="1023">
        <f t="shared" si="57"/>
        <v>14176680896</v>
      </c>
      <c r="X87" s="1024">
        <f t="shared" si="57"/>
        <v>33611650</v>
      </c>
      <c r="Y87" s="1023">
        <f t="shared" si="57"/>
        <v>14788208531</v>
      </c>
      <c r="Z87" s="1023">
        <f t="shared" si="57"/>
        <v>14667022458</v>
      </c>
    </row>
    <row r="88" spans="1:82" ht="17.25" customHeight="1">
      <c r="A88" s="630" t="s">
        <v>765</v>
      </c>
      <c r="B88" s="1067">
        <f>'4 bbb Önkorm'!BO88+'4 ba Polg Hiv'!BC92+'4 a Intézmények'!CD88</f>
        <v>0</v>
      </c>
      <c r="C88" s="1067">
        <f>'4 bbb Önkorm'!BP88+'4 ba Polg Hiv'!BD92+'4 a Intézmények'!CE88</f>
        <v>0</v>
      </c>
      <c r="D88" s="1091">
        <f>'4 bbb Önkorm'!BQ88+'4 ba Polg Hiv'!BE92+'4 a Intézmények'!CF88</f>
        <v>0</v>
      </c>
      <c r="E88" s="1015">
        <f>SUM(C88+D88)</f>
        <v>0</v>
      </c>
      <c r="F88" s="1026"/>
      <c r="G88" s="1010"/>
      <c r="H88" s="1011"/>
      <c r="I88" s="1009"/>
      <c r="J88" s="1010">
        <f t="shared" ref="J88:J98" si="58">SUM(H88+I88)</f>
        <v>0</v>
      </c>
      <c r="K88" s="1200"/>
      <c r="L88" s="1010"/>
      <c r="M88" s="1011"/>
      <c r="N88" s="1009"/>
      <c r="O88" s="1010">
        <f t="shared" ref="O88:O98" si="59">SUM(M88+N88)</f>
        <v>0</v>
      </c>
      <c r="P88" s="1010"/>
      <c r="Q88" s="1015"/>
      <c r="R88" s="1106">
        <f t="shared" ref="R88:R103" si="60">H88+M88</f>
        <v>0</v>
      </c>
      <c r="S88" s="1218">
        <f t="shared" ref="S88:S103" si="61">I88+N88</f>
        <v>0</v>
      </c>
      <c r="T88" s="1015">
        <f t="shared" ref="T88:T98" si="62">SUM(R88+S88)</f>
        <v>0</v>
      </c>
      <c r="U88" s="1026"/>
      <c r="V88" s="1015"/>
      <c r="W88" s="1007">
        <f t="shared" ref="W88:W103" si="63">C88+R88</f>
        <v>0</v>
      </c>
      <c r="X88" s="1197">
        <f t="shared" ref="X88:X103" si="64">D88+S88</f>
        <v>0</v>
      </c>
      <c r="Y88" s="1015">
        <f>SUM(W88+X88)</f>
        <v>0</v>
      </c>
      <c r="Z88" s="1015">
        <f t="shared" ref="Z88:Z102" si="65">F88+U88</f>
        <v>0</v>
      </c>
      <c r="AA88" s="433"/>
      <c r="AB88" s="433"/>
      <c r="AC88" s="433"/>
      <c r="AD88" s="433"/>
      <c r="AE88" s="433"/>
      <c r="AF88" s="433"/>
      <c r="AG88" s="433"/>
      <c r="AH88" s="433"/>
      <c r="AI88" s="433"/>
      <c r="AJ88" s="433"/>
      <c r="AK88" s="433"/>
      <c r="AL88" s="433"/>
      <c r="AM88" s="433"/>
      <c r="AN88" s="433"/>
      <c r="AO88" s="433"/>
      <c r="AP88" s="433"/>
      <c r="AQ88" s="433"/>
      <c r="AR88" s="433"/>
      <c r="AS88" s="433"/>
      <c r="AT88" s="433"/>
      <c r="AU88" s="433"/>
      <c r="AV88" s="433"/>
      <c r="AW88" s="433"/>
      <c r="AX88" s="433"/>
      <c r="AY88" s="433"/>
      <c r="AZ88" s="433"/>
      <c r="BA88" s="433"/>
      <c r="BB88" s="433"/>
      <c r="BC88" s="433"/>
      <c r="BD88" s="433"/>
      <c r="BE88" s="433"/>
      <c r="BF88" s="433"/>
      <c r="BG88" s="433"/>
      <c r="BH88" s="433"/>
      <c r="BI88" s="433"/>
      <c r="BJ88" s="433"/>
      <c r="BK88" s="433"/>
      <c r="BL88" s="433"/>
      <c r="BM88" s="433"/>
      <c r="BN88" s="433"/>
      <c r="BO88" s="433"/>
      <c r="BP88" s="433"/>
      <c r="BQ88" s="433"/>
      <c r="BR88" s="433"/>
      <c r="BS88" s="433"/>
      <c r="BT88" s="433"/>
      <c r="BU88" s="433"/>
      <c r="BV88" s="433"/>
      <c r="BW88" s="433"/>
      <c r="BX88" s="433"/>
      <c r="BY88" s="433"/>
      <c r="BZ88" s="433"/>
      <c r="CA88" s="433"/>
      <c r="CB88" s="433"/>
      <c r="CC88" s="433"/>
      <c r="CD88" s="433"/>
    </row>
    <row r="89" spans="1:82" ht="17.25" customHeight="1">
      <c r="A89" s="405" t="s">
        <v>766</v>
      </c>
      <c r="B89" s="1067">
        <f>'4 bbb Önkorm'!BO89+'4 ba Polg Hiv'!BC93+'4 a Intézmények'!CD89</f>
        <v>0</v>
      </c>
      <c r="C89" s="1067">
        <f>'4 bbb Önkorm'!BP89+'4 ba Polg Hiv'!BD93+'4 a Intézmények'!CE89</f>
        <v>0</v>
      </c>
      <c r="D89" s="1091">
        <f>'4 bbb Önkorm'!BQ89+'4 ba Polg Hiv'!BE93+'4 a Intézmények'!CF89</f>
        <v>0</v>
      </c>
      <c r="E89" s="1067">
        <f>'4 bbb Önkorm'!BR89+'4 ba Polg Hiv'!BF93+'4 a Intézmények'!CG89</f>
        <v>0</v>
      </c>
      <c r="F89" s="1067">
        <f>'4 bbb Önkorm'!BS89+'4 ba Polg Hiv'!BG93+'4 a Intézmények'!CH89</f>
        <v>0</v>
      </c>
      <c r="G89" s="1010"/>
      <c r="H89" s="1011"/>
      <c r="I89" s="1009"/>
      <c r="J89" s="1010">
        <f t="shared" si="58"/>
        <v>0</v>
      </c>
      <c r="K89" s="1200"/>
      <c r="L89" s="1010"/>
      <c r="M89" s="1011"/>
      <c r="N89" s="1009"/>
      <c r="O89" s="1010">
        <f t="shared" si="59"/>
        <v>0</v>
      </c>
      <c r="P89" s="1010"/>
      <c r="Q89" s="1015"/>
      <c r="R89" s="1106">
        <f t="shared" si="60"/>
        <v>0</v>
      </c>
      <c r="S89" s="1218">
        <f t="shared" si="61"/>
        <v>0</v>
      </c>
      <c r="T89" s="1015">
        <f t="shared" si="62"/>
        <v>0</v>
      </c>
      <c r="U89" s="1026"/>
      <c r="V89" s="1015"/>
      <c r="W89" s="1007">
        <f t="shared" si="63"/>
        <v>0</v>
      </c>
      <c r="X89" s="1197">
        <f t="shared" si="64"/>
        <v>0</v>
      </c>
      <c r="Y89" s="1015">
        <f>SUM(W89+X89)</f>
        <v>0</v>
      </c>
      <c r="Z89" s="1015">
        <f t="shared" si="65"/>
        <v>0</v>
      </c>
      <c r="AA89" s="433"/>
      <c r="AB89" s="433"/>
      <c r="AC89" s="433"/>
      <c r="AD89" s="433"/>
      <c r="AE89" s="433"/>
      <c r="AF89" s="433"/>
      <c r="AG89" s="433"/>
      <c r="AH89" s="433"/>
      <c r="AI89" s="433"/>
      <c r="AJ89" s="433"/>
      <c r="AK89" s="433"/>
      <c r="AL89" s="433"/>
      <c r="AM89" s="433"/>
      <c r="AN89" s="433"/>
      <c r="AO89" s="433"/>
      <c r="AP89" s="433"/>
      <c r="AQ89" s="433"/>
      <c r="AR89" s="433"/>
      <c r="AS89" s="433"/>
      <c r="AT89" s="433"/>
      <c r="AU89" s="433"/>
      <c r="AV89" s="433"/>
      <c r="AW89" s="433"/>
      <c r="AX89" s="433"/>
      <c r="AY89" s="433"/>
      <c r="AZ89" s="433"/>
      <c r="BA89" s="433"/>
      <c r="BB89" s="433"/>
      <c r="BC89" s="433"/>
      <c r="BD89" s="433"/>
      <c r="BE89" s="433"/>
      <c r="BF89" s="433"/>
      <c r="BG89" s="433"/>
      <c r="BH89" s="433"/>
      <c r="BI89" s="433"/>
      <c r="BJ89" s="433"/>
      <c r="BK89" s="433"/>
      <c r="BL89" s="433"/>
      <c r="BM89" s="433"/>
      <c r="BN89" s="433"/>
      <c r="BO89" s="433"/>
      <c r="BP89" s="433"/>
      <c r="BQ89" s="433"/>
      <c r="BR89" s="433"/>
      <c r="BS89" s="433"/>
      <c r="BT89" s="433"/>
      <c r="BU89" s="433"/>
      <c r="BV89" s="433"/>
      <c r="BW89" s="433"/>
      <c r="BX89" s="433"/>
      <c r="BY89" s="433"/>
      <c r="BZ89" s="433"/>
      <c r="CA89" s="433"/>
      <c r="CB89" s="433"/>
      <c r="CC89" s="433"/>
      <c r="CD89" s="433"/>
    </row>
    <row r="90" spans="1:82" ht="12.75" customHeight="1">
      <c r="A90" s="405" t="s">
        <v>767</v>
      </c>
      <c r="B90" s="1067">
        <f>'4 bbb Önkorm'!BO90+'4 ba Polg Hiv'!BC94+'4 a Intézmények'!CD90</f>
        <v>0</v>
      </c>
      <c r="C90" s="1067">
        <f>'4 bbb Önkorm'!BP90+'4 ba Polg Hiv'!BD94+'4 a Intézmények'!CE90</f>
        <v>0</v>
      </c>
      <c r="D90" s="1091">
        <f>'4 bbb Önkorm'!BQ90+'4 ba Polg Hiv'!BE94+'4 a Intézmények'!CF90</f>
        <v>0</v>
      </c>
      <c r="E90" s="1067">
        <f>'4 bbb Önkorm'!BR90+'4 ba Polg Hiv'!BF94+'4 a Intézmények'!CG90</f>
        <v>0</v>
      </c>
      <c r="F90" s="1067">
        <f>'4 bbb Önkorm'!BS90+'4 ba Polg Hiv'!BG94+'4 a Intézmények'!CH90</f>
        <v>0</v>
      </c>
      <c r="G90" s="1010"/>
      <c r="H90" s="1011"/>
      <c r="I90" s="1009"/>
      <c r="J90" s="1010">
        <f t="shared" si="58"/>
        <v>0</v>
      </c>
      <c r="K90" s="1100">
        <f t="shared" ref="K90:K95" si="66">H90-G90</f>
        <v>0</v>
      </c>
      <c r="L90" s="1010"/>
      <c r="M90" s="1011"/>
      <c r="N90" s="1009"/>
      <c r="O90" s="1010">
        <f t="shared" si="59"/>
        <v>0</v>
      </c>
      <c r="P90" s="1099">
        <f t="shared" ref="P90:P95" si="67">M90-L90</f>
        <v>0</v>
      </c>
      <c r="Q90" s="1106">
        <f t="shared" ref="Q90:Q102" si="68">G90+L90</f>
        <v>0</v>
      </c>
      <c r="R90" s="1106">
        <f t="shared" si="60"/>
        <v>0</v>
      </c>
      <c r="S90" s="1097">
        <f t="shared" si="61"/>
        <v>0</v>
      </c>
      <c r="T90" s="1015">
        <f t="shared" si="62"/>
        <v>0</v>
      </c>
      <c r="U90" s="1020">
        <f t="shared" ref="U90:U95" si="69">R90-Q90</f>
        <v>0</v>
      </c>
      <c r="V90" s="1007">
        <f t="shared" ref="V90:V102" si="70">B90+Q90</f>
        <v>0</v>
      </c>
      <c r="W90" s="1007">
        <f t="shared" si="63"/>
        <v>0</v>
      </c>
      <c r="X90" s="1219">
        <f t="shared" si="64"/>
        <v>0</v>
      </c>
      <c r="Y90" s="1015">
        <f>SUM(W90+X90)</f>
        <v>0</v>
      </c>
      <c r="Z90" s="1015">
        <f t="shared" si="65"/>
        <v>0</v>
      </c>
      <c r="AA90" s="433"/>
      <c r="AB90" s="433"/>
      <c r="AC90" s="433"/>
      <c r="AD90" s="433"/>
      <c r="AE90" s="433"/>
      <c r="AF90" s="433"/>
      <c r="AG90" s="433"/>
      <c r="AH90" s="433"/>
      <c r="AI90" s="433"/>
      <c r="AJ90" s="433"/>
      <c r="AK90" s="433"/>
      <c r="AL90" s="433"/>
      <c r="AM90" s="433"/>
      <c r="AN90" s="433"/>
      <c r="AO90" s="433"/>
      <c r="AP90" s="433"/>
      <c r="AQ90" s="433"/>
      <c r="AR90" s="433"/>
      <c r="AS90" s="433"/>
      <c r="AT90" s="433"/>
      <c r="AU90" s="433"/>
      <c r="AV90" s="433"/>
      <c r="AW90" s="433"/>
      <c r="AX90" s="433"/>
      <c r="AY90" s="433"/>
      <c r="AZ90" s="433"/>
      <c r="BA90" s="433"/>
      <c r="BB90" s="433"/>
      <c r="BC90" s="433"/>
      <c r="BD90" s="433"/>
      <c r="BE90" s="433"/>
      <c r="BF90" s="433"/>
      <c r="BG90" s="433"/>
      <c r="BH90" s="433"/>
      <c r="BI90" s="433"/>
      <c r="BJ90" s="433"/>
      <c r="BK90" s="433"/>
      <c r="BL90" s="433"/>
      <c r="BM90" s="433"/>
      <c r="BN90" s="433"/>
      <c r="BO90" s="433"/>
      <c r="BP90" s="433"/>
      <c r="BQ90" s="433"/>
      <c r="BR90" s="433"/>
      <c r="BS90" s="433"/>
      <c r="BT90" s="433"/>
      <c r="BU90" s="433"/>
      <c r="BV90" s="433"/>
      <c r="BW90" s="433"/>
      <c r="BX90" s="433"/>
      <c r="BY90" s="433"/>
      <c r="BZ90" s="433"/>
      <c r="CA90" s="433"/>
      <c r="CB90" s="433"/>
      <c r="CC90" s="433"/>
      <c r="CD90" s="433"/>
    </row>
    <row r="91" spans="1:82" ht="13.5" customHeight="1">
      <c r="A91" s="405" t="s">
        <v>768</v>
      </c>
      <c r="B91" s="1067">
        <f>'4 bbb Önkorm'!BO91+'4 ba Polg Hiv'!BC95+'4 a Intézmények'!CD91</f>
        <v>0</v>
      </c>
      <c r="C91" s="1067">
        <f>'4 bbb Önkorm'!BP91+'4 ba Polg Hiv'!BD95+'4 a Intézmények'!CE91</f>
        <v>0</v>
      </c>
      <c r="D91" s="1091">
        <f>'4 bbb Önkorm'!BQ91+'4 ba Polg Hiv'!BE95+'4 a Intézmények'!CF91</f>
        <v>0</v>
      </c>
      <c r="E91" s="1067">
        <f>'4 bbb Önkorm'!BR91+'4 ba Polg Hiv'!BF95+'4 a Intézmények'!CG91</f>
        <v>0</v>
      </c>
      <c r="F91" s="1067">
        <f>'4 bbb Önkorm'!BS91+'4 ba Polg Hiv'!BG95+'4 a Intézmények'!CH91</f>
        <v>0</v>
      </c>
      <c r="G91" s="1010"/>
      <c r="H91" s="1011"/>
      <c r="I91" s="1009"/>
      <c r="J91" s="1010">
        <f t="shared" si="58"/>
        <v>0</v>
      </c>
      <c r="K91" s="1100">
        <f t="shared" si="66"/>
        <v>0</v>
      </c>
      <c r="L91" s="1010"/>
      <c r="M91" s="1011"/>
      <c r="N91" s="1009"/>
      <c r="O91" s="1010">
        <f t="shared" si="59"/>
        <v>0</v>
      </c>
      <c r="P91" s="1099">
        <f t="shared" si="67"/>
        <v>0</v>
      </c>
      <c r="Q91" s="1106">
        <f t="shared" si="68"/>
        <v>0</v>
      </c>
      <c r="R91" s="1106">
        <f t="shared" si="60"/>
        <v>0</v>
      </c>
      <c r="S91" s="1097">
        <f t="shared" si="61"/>
        <v>0</v>
      </c>
      <c r="T91" s="1015">
        <f t="shared" si="62"/>
        <v>0</v>
      </c>
      <c r="U91" s="1020">
        <f t="shared" si="69"/>
        <v>0</v>
      </c>
      <c r="V91" s="1007">
        <f t="shared" si="70"/>
        <v>0</v>
      </c>
      <c r="W91" s="1007">
        <f t="shared" si="63"/>
        <v>0</v>
      </c>
      <c r="X91" s="1219">
        <f t="shared" si="64"/>
        <v>0</v>
      </c>
      <c r="Y91" s="1015">
        <f t="shared" ref="Y91:Y102" si="71">E91+T91</f>
        <v>0</v>
      </c>
      <c r="Z91" s="1015">
        <f t="shared" si="65"/>
        <v>0</v>
      </c>
      <c r="AA91" s="433"/>
      <c r="AB91" s="433"/>
      <c r="AC91" s="433"/>
      <c r="AD91" s="433"/>
      <c r="AE91" s="433"/>
      <c r="AF91" s="433"/>
      <c r="AG91" s="433"/>
      <c r="AH91" s="433"/>
      <c r="AI91" s="433"/>
      <c r="AJ91" s="433"/>
      <c r="AK91" s="433"/>
      <c r="AL91" s="433"/>
      <c r="AM91" s="433"/>
      <c r="AN91" s="433"/>
      <c r="AO91" s="433"/>
      <c r="AP91" s="433"/>
      <c r="AQ91" s="433"/>
      <c r="AR91" s="433"/>
      <c r="AS91" s="433"/>
      <c r="AT91" s="433"/>
      <c r="AU91" s="433"/>
      <c r="AV91" s="433"/>
      <c r="AW91" s="433"/>
      <c r="AX91" s="433"/>
      <c r="AY91" s="433"/>
      <c r="AZ91" s="433"/>
      <c r="BA91" s="433"/>
      <c r="BB91" s="433"/>
      <c r="BC91" s="433"/>
      <c r="BD91" s="433"/>
      <c r="BE91" s="433"/>
      <c r="BF91" s="433"/>
      <c r="BG91" s="433"/>
      <c r="BH91" s="433"/>
      <c r="BI91" s="433"/>
      <c r="BJ91" s="433"/>
      <c r="BK91" s="433"/>
      <c r="BL91" s="433"/>
      <c r="BM91" s="433"/>
      <c r="BN91" s="433"/>
      <c r="BO91" s="433"/>
      <c r="BP91" s="433"/>
      <c r="BQ91" s="433"/>
      <c r="BR91" s="433"/>
      <c r="BS91" s="433"/>
      <c r="BT91" s="433"/>
      <c r="BU91" s="433"/>
      <c r="BV91" s="433"/>
      <c r="BW91" s="433"/>
      <c r="BX91" s="433"/>
      <c r="BY91" s="433"/>
      <c r="BZ91" s="433"/>
      <c r="CA91" s="433"/>
      <c r="CB91" s="433"/>
      <c r="CC91" s="433"/>
      <c r="CD91" s="433"/>
    </row>
    <row r="92" spans="1:82" ht="34.5" customHeight="1">
      <c r="A92" s="405" t="s">
        <v>769</v>
      </c>
      <c r="B92" s="1067">
        <f>'4 bbb Önkorm'!BO92+'4 ba Polg Hiv'!BC96+'4 a Intézmények'!CD92</f>
        <v>0</v>
      </c>
      <c r="C92" s="1067">
        <f>'4 bbb Önkorm'!BP92+'4 ba Polg Hiv'!BD96+'4 a Intézmények'!CE92</f>
        <v>0</v>
      </c>
      <c r="D92" s="1091">
        <f>'4 bbb Önkorm'!BQ92+'4 ba Polg Hiv'!BE96+'4 a Intézmények'!CF92</f>
        <v>0</v>
      </c>
      <c r="E92" s="1067">
        <f>'4 bbb Önkorm'!BR92+'4 ba Polg Hiv'!BF96+'4 a Intézmények'!CG92</f>
        <v>0</v>
      </c>
      <c r="F92" s="1067">
        <f>'4 bbb Önkorm'!BS92+'4 ba Polg Hiv'!BG96+'4 a Intézmények'!CH92</f>
        <v>0</v>
      </c>
      <c r="G92" s="1010"/>
      <c r="H92" s="1011"/>
      <c r="I92" s="1009"/>
      <c r="J92" s="1010">
        <f t="shared" si="58"/>
        <v>0</v>
      </c>
      <c r="K92" s="1100">
        <f t="shared" si="66"/>
        <v>0</v>
      </c>
      <c r="L92" s="1010"/>
      <c r="M92" s="1011"/>
      <c r="N92" s="1009"/>
      <c r="O92" s="1010">
        <f t="shared" si="59"/>
        <v>0</v>
      </c>
      <c r="P92" s="1099">
        <f t="shared" si="67"/>
        <v>0</v>
      </c>
      <c r="Q92" s="1106">
        <f t="shared" si="68"/>
        <v>0</v>
      </c>
      <c r="R92" s="1106">
        <f t="shared" si="60"/>
        <v>0</v>
      </c>
      <c r="S92" s="1097">
        <f t="shared" si="61"/>
        <v>0</v>
      </c>
      <c r="T92" s="1015">
        <f t="shared" si="62"/>
        <v>0</v>
      </c>
      <c r="U92" s="1020">
        <f t="shared" si="69"/>
        <v>0</v>
      </c>
      <c r="V92" s="1007">
        <f t="shared" si="70"/>
        <v>0</v>
      </c>
      <c r="W92" s="1007">
        <f t="shared" si="63"/>
        <v>0</v>
      </c>
      <c r="X92" s="1219">
        <f t="shared" si="64"/>
        <v>0</v>
      </c>
      <c r="Y92" s="1015">
        <f t="shared" si="71"/>
        <v>0</v>
      </c>
      <c r="Z92" s="1015">
        <f t="shared" si="65"/>
        <v>0</v>
      </c>
      <c r="AA92" s="433"/>
      <c r="AB92" s="433"/>
      <c r="AC92" s="433"/>
      <c r="AD92" s="433"/>
      <c r="AE92" s="433"/>
      <c r="AF92" s="433"/>
      <c r="AG92" s="433"/>
      <c r="AH92" s="433"/>
      <c r="AI92" s="433"/>
      <c r="AJ92" s="433"/>
      <c r="AK92" s="433"/>
      <c r="AL92" s="433"/>
      <c r="AM92" s="433"/>
      <c r="AN92" s="433"/>
      <c r="AO92" s="433"/>
      <c r="AP92" s="433"/>
      <c r="AQ92" s="433"/>
      <c r="AR92" s="433"/>
      <c r="AS92" s="433"/>
      <c r="AT92" s="433"/>
      <c r="AU92" s="433"/>
      <c r="AV92" s="433"/>
      <c r="AW92" s="433"/>
      <c r="AX92" s="433"/>
      <c r="AY92" s="433"/>
      <c r="AZ92" s="433"/>
      <c r="BA92" s="433"/>
      <c r="BB92" s="433"/>
      <c r="BC92" s="433"/>
      <c r="BD92" s="433"/>
      <c r="BE92" s="433"/>
      <c r="BF92" s="433"/>
      <c r="BG92" s="433"/>
      <c r="BH92" s="433"/>
      <c r="BI92" s="433"/>
      <c r="BJ92" s="433"/>
      <c r="BK92" s="433"/>
      <c r="BL92" s="433"/>
      <c r="BM92" s="433"/>
      <c r="BN92" s="433"/>
      <c r="BO92" s="433"/>
      <c r="BP92" s="433"/>
      <c r="BQ92" s="433"/>
      <c r="BR92" s="433"/>
      <c r="BS92" s="433"/>
      <c r="BT92" s="433"/>
      <c r="BU92" s="433"/>
      <c r="BV92" s="433"/>
      <c r="BW92" s="433"/>
      <c r="BX92" s="433"/>
      <c r="BY92" s="433"/>
      <c r="BZ92" s="433"/>
      <c r="CA92" s="433"/>
      <c r="CB92" s="433"/>
      <c r="CC92" s="433"/>
      <c r="CD92" s="433"/>
    </row>
    <row r="93" spans="1:82" ht="15" customHeight="1">
      <c r="A93" s="405" t="s">
        <v>770</v>
      </c>
      <c r="B93" s="1067">
        <f>'4 bbb Önkorm'!BO93+'4 ba Polg Hiv'!BC97+'4 a Intézmények'!CD93</f>
        <v>0</v>
      </c>
      <c r="C93" s="1067">
        <f>'4 bbb Önkorm'!BP93+'4 ba Polg Hiv'!BD97+'4 a Intézmények'!CE93</f>
        <v>0</v>
      </c>
      <c r="D93" s="1091">
        <f>'4 bbb Önkorm'!BQ93+'4 ba Polg Hiv'!BE97+'4 a Intézmények'!CF93</f>
        <v>0</v>
      </c>
      <c r="E93" s="1067">
        <f>'4 bbb Önkorm'!BR93+'4 ba Polg Hiv'!BF97+'4 a Intézmények'!CG93</f>
        <v>5890000000</v>
      </c>
      <c r="F93" s="1067">
        <f>'4 bbb Önkorm'!BS93+'4 ba Polg Hiv'!BG97+'4 a Intézmények'!CH93</f>
        <v>5890000000</v>
      </c>
      <c r="G93" s="1010"/>
      <c r="H93" s="1011"/>
      <c r="I93" s="1009"/>
      <c r="J93" s="1010">
        <f t="shared" si="58"/>
        <v>0</v>
      </c>
      <c r="K93" s="1100">
        <f t="shared" si="66"/>
        <v>0</v>
      </c>
      <c r="L93" s="1010"/>
      <c r="M93" s="1011"/>
      <c r="N93" s="1009"/>
      <c r="O93" s="1010">
        <f t="shared" si="59"/>
        <v>0</v>
      </c>
      <c r="P93" s="1099">
        <f t="shared" si="67"/>
        <v>0</v>
      </c>
      <c r="Q93" s="1106">
        <f t="shared" si="68"/>
        <v>0</v>
      </c>
      <c r="R93" s="1106">
        <f t="shared" si="60"/>
        <v>0</v>
      </c>
      <c r="S93" s="1097">
        <f t="shared" si="61"/>
        <v>0</v>
      </c>
      <c r="T93" s="1015">
        <f t="shared" si="62"/>
        <v>0</v>
      </c>
      <c r="U93" s="1020">
        <f t="shared" si="69"/>
        <v>0</v>
      </c>
      <c r="V93" s="1007">
        <f t="shared" si="70"/>
        <v>0</v>
      </c>
      <c r="W93" s="1007">
        <f t="shared" si="63"/>
        <v>0</v>
      </c>
      <c r="X93" s="1219">
        <f t="shared" si="64"/>
        <v>0</v>
      </c>
      <c r="Y93" s="1015">
        <f t="shared" si="71"/>
        <v>5890000000</v>
      </c>
      <c r="Z93" s="1015">
        <f t="shared" si="65"/>
        <v>5890000000</v>
      </c>
      <c r="AA93" s="433"/>
      <c r="AB93" s="433"/>
      <c r="AC93" s="433"/>
      <c r="AD93" s="433"/>
      <c r="AE93" s="433"/>
      <c r="AF93" s="433"/>
      <c r="AG93" s="433"/>
      <c r="AH93" s="433"/>
      <c r="AI93" s="433"/>
      <c r="AJ93" s="433"/>
      <c r="AK93" s="433"/>
      <c r="AL93" s="433"/>
      <c r="AM93" s="433"/>
      <c r="AN93" s="433"/>
      <c r="AO93" s="433"/>
      <c r="AP93" s="433"/>
      <c r="AQ93" s="433"/>
      <c r="AR93" s="433"/>
      <c r="AS93" s="433"/>
      <c r="AT93" s="433"/>
      <c r="AU93" s="433"/>
      <c r="AV93" s="433"/>
      <c r="AW93" s="433"/>
      <c r="AX93" s="433"/>
      <c r="AY93" s="433"/>
      <c r="AZ93" s="433"/>
      <c r="BA93" s="433"/>
      <c r="BB93" s="433"/>
      <c r="BC93" s="433"/>
      <c r="BD93" s="433"/>
      <c r="BE93" s="433"/>
      <c r="BF93" s="433"/>
      <c r="BG93" s="433"/>
      <c r="BH93" s="433"/>
      <c r="BI93" s="433"/>
      <c r="BJ93" s="433"/>
      <c r="BK93" s="433"/>
      <c r="BL93" s="433"/>
      <c r="BM93" s="433"/>
      <c r="BN93" s="433"/>
      <c r="BO93" s="433"/>
      <c r="BP93" s="433"/>
      <c r="BQ93" s="433"/>
      <c r="BR93" s="433"/>
      <c r="BS93" s="433"/>
      <c r="BT93" s="433"/>
      <c r="BU93" s="433"/>
      <c r="BV93" s="433"/>
      <c r="BW93" s="433"/>
      <c r="BX93" s="433"/>
      <c r="BY93" s="433"/>
      <c r="BZ93" s="433"/>
      <c r="CA93" s="433"/>
      <c r="CB93" s="433"/>
      <c r="CC93" s="433"/>
      <c r="CD93" s="433"/>
    </row>
    <row r="94" spans="1:82" ht="15" customHeight="1">
      <c r="A94" s="405" t="s">
        <v>771</v>
      </c>
      <c r="B94" s="1067">
        <f>'4 bbb Önkorm'!BO94+'4 ba Polg Hiv'!BC98+'4 a Intézmények'!CD94</f>
        <v>0</v>
      </c>
      <c r="C94" s="1067">
        <f>'4 bbb Önkorm'!BP94+'4 ba Polg Hiv'!BD98+'4 a Intézmények'!CE94</f>
        <v>0</v>
      </c>
      <c r="D94" s="1091">
        <f>'4 bbb Önkorm'!BQ94+'4 ba Polg Hiv'!BE98+'4 a Intézmények'!CF94</f>
        <v>0</v>
      </c>
      <c r="E94" s="1067">
        <f>'4 bbb Önkorm'!BR94+'4 ba Polg Hiv'!BF98+'4 a Intézmények'!CG94</f>
        <v>0</v>
      </c>
      <c r="F94" s="1067">
        <f>'4 bbb Önkorm'!BS94+'4 ba Polg Hiv'!BG98+'4 a Intézmények'!CH94</f>
        <v>0</v>
      </c>
      <c r="G94" s="1010"/>
      <c r="H94" s="1011"/>
      <c r="I94" s="1009"/>
      <c r="J94" s="1010">
        <f t="shared" si="58"/>
        <v>0</v>
      </c>
      <c r="K94" s="1100">
        <f t="shared" si="66"/>
        <v>0</v>
      </c>
      <c r="L94" s="1010"/>
      <c r="M94" s="1011"/>
      <c r="N94" s="1009"/>
      <c r="O94" s="1010">
        <f t="shared" si="59"/>
        <v>0</v>
      </c>
      <c r="P94" s="1099">
        <f t="shared" si="67"/>
        <v>0</v>
      </c>
      <c r="Q94" s="1106">
        <f t="shared" si="68"/>
        <v>0</v>
      </c>
      <c r="R94" s="1106">
        <f t="shared" si="60"/>
        <v>0</v>
      </c>
      <c r="S94" s="1097">
        <f t="shared" si="61"/>
        <v>0</v>
      </c>
      <c r="T94" s="1015">
        <f t="shared" si="62"/>
        <v>0</v>
      </c>
      <c r="U94" s="1020">
        <f t="shared" si="69"/>
        <v>0</v>
      </c>
      <c r="V94" s="1007">
        <f t="shared" si="70"/>
        <v>0</v>
      </c>
      <c r="W94" s="1007">
        <f t="shared" si="63"/>
        <v>0</v>
      </c>
      <c r="X94" s="1219">
        <f t="shared" si="64"/>
        <v>0</v>
      </c>
      <c r="Y94" s="1015">
        <f t="shared" si="71"/>
        <v>0</v>
      </c>
      <c r="Z94" s="1015">
        <f t="shared" si="65"/>
        <v>0</v>
      </c>
      <c r="AA94" s="433"/>
      <c r="AB94" s="433"/>
      <c r="AC94" s="433"/>
      <c r="AD94" s="433"/>
      <c r="AE94" s="433"/>
      <c r="AF94" s="433"/>
      <c r="AG94" s="433"/>
      <c r="AH94" s="433"/>
      <c r="AI94" s="433"/>
      <c r="AJ94" s="433"/>
      <c r="AK94" s="433"/>
      <c r="AL94" s="433"/>
      <c r="AM94" s="433"/>
      <c r="AN94" s="433"/>
      <c r="AO94" s="433"/>
      <c r="AP94" s="433"/>
      <c r="AQ94" s="433"/>
      <c r="AR94" s="433"/>
      <c r="AS94" s="433"/>
      <c r="AT94" s="433"/>
      <c r="AU94" s="433"/>
      <c r="AV94" s="433"/>
      <c r="AW94" s="433"/>
      <c r="AX94" s="433"/>
      <c r="AY94" s="433"/>
      <c r="AZ94" s="433"/>
      <c r="BA94" s="433"/>
      <c r="BB94" s="433"/>
      <c r="BC94" s="433"/>
      <c r="BD94" s="433"/>
      <c r="BE94" s="433"/>
      <c r="BF94" s="433"/>
      <c r="BG94" s="433"/>
      <c r="BH94" s="433"/>
      <c r="BI94" s="433"/>
      <c r="BJ94" s="433"/>
      <c r="BK94" s="433"/>
      <c r="BL94" s="433"/>
      <c r="BM94" s="433"/>
      <c r="BN94" s="433"/>
      <c r="BO94" s="433"/>
      <c r="BP94" s="433"/>
      <c r="BQ94" s="433"/>
      <c r="BR94" s="433"/>
      <c r="BS94" s="433"/>
      <c r="BT94" s="433"/>
      <c r="BU94" s="433"/>
      <c r="BV94" s="433"/>
      <c r="BW94" s="433"/>
      <c r="BX94" s="433"/>
      <c r="BY94" s="433"/>
      <c r="BZ94" s="433"/>
      <c r="CA94" s="433"/>
      <c r="CB94" s="433"/>
      <c r="CC94" s="433"/>
      <c r="CD94" s="433"/>
    </row>
    <row r="95" spans="1:82" ht="15" customHeight="1">
      <c r="A95" s="630" t="s">
        <v>772</v>
      </c>
      <c r="B95" s="1067">
        <f>'4 bbb Önkorm'!BO95+'4 ba Polg Hiv'!BC99+'4 a Intézmények'!CD95</f>
        <v>0</v>
      </c>
      <c r="C95" s="1067">
        <f>'4 bbb Önkorm'!BP95+'4 ba Polg Hiv'!BD99+'4 a Intézmények'!CE95</f>
        <v>0</v>
      </c>
      <c r="D95" s="1091">
        <f>'4 bbb Önkorm'!BQ95+'4 ba Polg Hiv'!BE99+'4 a Intézmények'!CF95</f>
        <v>0</v>
      </c>
      <c r="E95" s="1067">
        <f>'4 bbb Önkorm'!BR95+'4 ba Polg Hiv'!BF99+'4 a Intézmények'!CG95</f>
        <v>0</v>
      </c>
      <c r="F95" s="1067">
        <f>'4 bbb Önkorm'!BS95+'4 ba Polg Hiv'!BG99+'4 a Intézmények'!CH95</f>
        <v>0</v>
      </c>
      <c r="G95" s="1010"/>
      <c r="H95" s="1011"/>
      <c r="I95" s="1009"/>
      <c r="J95" s="1010">
        <f t="shared" si="58"/>
        <v>0</v>
      </c>
      <c r="K95" s="1100">
        <f t="shared" si="66"/>
        <v>0</v>
      </c>
      <c r="L95" s="1010"/>
      <c r="M95" s="1011"/>
      <c r="N95" s="1009"/>
      <c r="O95" s="1010">
        <f t="shared" si="59"/>
        <v>0</v>
      </c>
      <c r="P95" s="1099">
        <f t="shared" si="67"/>
        <v>0</v>
      </c>
      <c r="Q95" s="1106">
        <f t="shared" si="68"/>
        <v>0</v>
      </c>
      <c r="R95" s="1106">
        <f t="shared" si="60"/>
        <v>0</v>
      </c>
      <c r="S95" s="1097">
        <f t="shared" si="61"/>
        <v>0</v>
      </c>
      <c r="T95" s="1015">
        <f t="shared" si="62"/>
        <v>0</v>
      </c>
      <c r="U95" s="1020">
        <f t="shared" si="69"/>
        <v>0</v>
      </c>
      <c r="V95" s="1007">
        <f t="shared" si="70"/>
        <v>0</v>
      </c>
      <c r="W95" s="1007">
        <f t="shared" si="63"/>
        <v>0</v>
      </c>
      <c r="X95" s="1219">
        <f t="shared" si="64"/>
        <v>0</v>
      </c>
      <c r="Y95" s="1015">
        <f t="shared" si="71"/>
        <v>0</v>
      </c>
      <c r="Z95" s="1015">
        <f t="shared" si="65"/>
        <v>0</v>
      </c>
      <c r="AA95" s="433"/>
      <c r="AB95" s="433"/>
      <c r="AC95" s="433"/>
      <c r="AD95" s="433"/>
      <c r="AE95" s="433"/>
      <c r="AF95" s="433"/>
      <c r="AG95" s="433"/>
      <c r="AH95" s="433"/>
      <c r="AI95" s="433"/>
      <c r="AJ95" s="433"/>
      <c r="AK95" s="433"/>
      <c r="AL95" s="433"/>
      <c r="AM95" s="433"/>
      <c r="AN95" s="433"/>
      <c r="AO95" s="433"/>
      <c r="AP95" s="433"/>
      <c r="AQ95" s="433"/>
      <c r="AR95" s="433"/>
      <c r="AS95" s="433"/>
      <c r="AT95" s="433"/>
      <c r="AU95" s="433"/>
      <c r="AV95" s="433"/>
      <c r="AW95" s="433"/>
      <c r="AX95" s="433"/>
      <c r="AY95" s="433"/>
      <c r="AZ95" s="433"/>
      <c r="BA95" s="433"/>
      <c r="BB95" s="433"/>
      <c r="BC95" s="433"/>
      <c r="BD95" s="433"/>
      <c r="BE95" s="433"/>
      <c r="BF95" s="433"/>
      <c r="BG95" s="433"/>
      <c r="BH95" s="433"/>
      <c r="BI95" s="433"/>
      <c r="BJ95" s="433"/>
      <c r="BK95" s="433"/>
      <c r="BL95" s="433"/>
      <c r="BM95" s="433"/>
      <c r="BN95" s="433"/>
      <c r="BO95" s="433"/>
      <c r="BP95" s="433"/>
      <c r="BQ95" s="433"/>
      <c r="BR95" s="433"/>
      <c r="BS95" s="433"/>
      <c r="BT95" s="433"/>
      <c r="BU95" s="433"/>
      <c r="BV95" s="433"/>
      <c r="BW95" s="433"/>
      <c r="BX95" s="433"/>
      <c r="BY95" s="433"/>
      <c r="BZ95" s="433"/>
      <c r="CA95" s="433"/>
      <c r="CB95" s="433"/>
      <c r="CC95" s="433"/>
      <c r="CD95" s="433"/>
    </row>
    <row r="96" spans="1:82" ht="15" customHeight="1">
      <c r="A96" s="630" t="s">
        <v>773</v>
      </c>
      <c r="B96" s="1067">
        <f>'4 bbb Önkorm'!BO96+'4 ba Polg Hiv'!BC100+'4 a Intézmények'!CD96</f>
        <v>1154727000</v>
      </c>
      <c r="C96" s="1067">
        <f>'4 bbb Önkorm'!BP96+'4 ba Polg Hiv'!BD100+'4 a Intézmények'!CE96</f>
        <v>2306259413</v>
      </c>
      <c r="D96" s="1091">
        <f>'4 bbb Önkorm'!BQ96+'4 ba Polg Hiv'!BE100+'4 a Intézmények'!CF96</f>
        <v>-1083334</v>
      </c>
      <c r="E96" s="1067">
        <f>'4 bbb Önkorm'!BR96+'4 ba Polg Hiv'!BF100+'4 a Intézmények'!CG96</f>
        <v>2809423776</v>
      </c>
      <c r="F96" s="1067">
        <f>'4 bbb Önkorm'!BS96+'4 ba Polg Hiv'!BG100+'4 a Intézmények'!CH96</f>
        <v>2596017393</v>
      </c>
      <c r="G96" s="1010"/>
      <c r="H96" s="1011"/>
      <c r="I96" s="1009"/>
      <c r="J96" s="1010">
        <f t="shared" si="58"/>
        <v>0</v>
      </c>
      <c r="K96" s="1100"/>
      <c r="L96" s="1010"/>
      <c r="M96" s="1011"/>
      <c r="N96" s="1009"/>
      <c r="O96" s="1010">
        <f t="shared" si="59"/>
        <v>0</v>
      </c>
      <c r="P96" s="1099"/>
      <c r="Q96" s="1106">
        <f t="shared" si="68"/>
        <v>0</v>
      </c>
      <c r="R96" s="1106">
        <f t="shared" si="60"/>
        <v>0</v>
      </c>
      <c r="S96" s="1097">
        <f t="shared" si="61"/>
        <v>0</v>
      </c>
      <c r="T96" s="1015">
        <f t="shared" si="62"/>
        <v>0</v>
      </c>
      <c r="U96" s="1020"/>
      <c r="V96" s="1007">
        <f t="shared" si="70"/>
        <v>1154727000</v>
      </c>
      <c r="W96" s="1007">
        <f t="shared" si="63"/>
        <v>2306259413</v>
      </c>
      <c r="X96" s="1219">
        <f t="shared" si="64"/>
        <v>-1083334</v>
      </c>
      <c r="Y96" s="1015">
        <f>E96+T96</f>
        <v>2809423776</v>
      </c>
      <c r="Z96" s="1015">
        <f t="shared" si="65"/>
        <v>2596017393</v>
      </c>
      <c r="AA96" s="433"/>
      <c r="AB96" s="433"/>
      <c r="AC96" s="433"/>
      <c r="AD96" s="433"/>
      <c r="AE96" s="433"/>
      <c r="AF96" s="433"/>
      <c r="AG96" s="433"/>
      <c r="AH96" s="433"/>
      <c r="AI96" s="433"/>
      <c r="AJ96" s="433"/>
      <c r="AK96" s="433"/>
      <c r="AL96" s="433"/>
      <c r="AM96" s="433"/>
      <c r="AN96" s="433"/>
      <c r="AO96" s="433"/>
      <c r="AP96" s="433"/>
      <c r="AQ96" s="433"/>
      <c r="AR96" s="433"/>
      <c r="AS96" s="433"/>
      <c r="AT96" s="433"/>
      <c r="AU96" s="433"/>
      <c r="AV96" s="433"/>
      <c r="AW96" s="433"/>
      <c r="AX96" s="433"/>
      <c r="AY96" s="433"/>
      <c r="AZ96" s="433"/>
      <c r="BA96" s="433"/>
      <c r="BB96" s="433"/>
      <c r="BC96" s="433"/>
      <c r="BD96" s="433"/>
      <c r="BE96" s="433"/>
      <c r="BF96" s="433"/>
      <c r="BG96" s="433"/>
      <c r="BH96" s="433"/>
      <c r="BI96" s="433"/>
      <c r="BJ96" s="433"/>
      <c r="BK96" s="433"/>
      <c r="BL96" s="433"/>
      <c r="BM96" s="433"/>
      <c r="BN96" s="433"/>
      <c r="BO96" s="433"/>
      <c r="BP96" s="433"/>
      <c r="BQ96" s="433"/>
      <c r="BR96" s="433"/>
      <c r="BS96" s="433"/>
      <c r="BT96" s="433"/>
      <c r="BU96" s="433"/>
      <c r="BV96" s="433"/>
      <c r="BW96" s="433"/>
      <c r="BX96" s="433"/>
      <c r="BY96" s="433"/>
      <c r="BZ96" s="433"/>
      <c r="CA96" s="433"/>
      <c r="CB96" s="433"/>
      <c r="CC96" s="433"/>
      <c r="CD96" s="433"/>
    </row>
    <row r="97" spans="1:82" ht="13.5" customHeight="1">
      <c r="A97" s="630" t="s">
        <v>774</v>
      </c>
      <c r="B97" s="1067">
        <f>'4 bbb Önkorm'!BO97+'4 ba Polg Hiv'!BC101+'4 a Intézmények'!CD97</f>
        <v>1264783000</v>
      </c>
      <c r="C97" s="1067">
        <f>'4 bbb Önkorm'!BP97+'4 ba Polg Hiv'!BD101+'4 a Intézmények'!CE97</f>
        <v>1630099192</v>
      </c>
      <c r="D97" s="1091">
        <f>'4 bbb Önkorm'!BQ97+'4 ba Polg Hiv'!BE101+'4 a Intézmények'!CF97</f>
        <v>0</v>
      </c>
      <c r="E97" s="1067">
        <f>'4 bbb Önkorm'!BR97+'4 ba Polg Hiv'!BF101+'4 a Intézmények'!CG97</f>
        <v>1416692821</v>
      </c>
      <c r="F97" s="1067">
        <f>'4 bbb Önkorm'!BS97+'4 ba Polg Hiv'!BG101+'4 a Intézmények'!CH97</f>
        <v>1630099192</v>
      </c>
      <c r="G97" s="1010"/>
      <c r="H97" s="1011"/>
      <c r="I97" s="1009"/>
      <c r="J97" s="1010">
        <f t="shared" si="58"/>
        <v>0</v>
      </c>
      <c r="K97" s="1100"/>
      <c r="L97" s="1010"/>
      <c r="M97" s="1011"/>
      <c r="N97" s="1009"/>
      <c r="O97" s="1010">
        <f t="shared" si="59"/>
        <v>0</v>
      </c>
      <c r="P97" s="1099"/>
      <c r="Q97" s="1106">
        <f t="shared" si="68"/>
        <v>0</v>
      </c>
      <c r="R97" s="1106">
        <f t="shared" si="60"/>
        <v>0</v>
      </c>
      <c r="S97" s="1097">
        <f t="shared" si="61"/>
        <v>0</v>
      </c>
      <c r="T97" s="1015">
        <f t="shared" si="62"/>
        <v>0</v>
      </c>
      <c r="U97" s="1020"/>
      <c r="V97" s="1007">
        <f t="shared" si="70"/>
        <v>1264783000</v>
      </c>
      <c r="W97" s="1007">
        <f t="shared" si="63"/>
        <v>1630099192</v>
      </c>
      <c r="X97" s="1219">
        <f t="shared" si="64"/>
        <v>0</v>
      </c>
      <c r="Y97" s="1015">
        <f t="shared" si="71"/>
        <v>1416692821</v>
      </c>
      <c r="Z97" s="1015">
        <f t="shared" si="65"/>
        <v>1630099192</v>
      </c>
      <c r="AA97" s="433"/>
      <c r="AB97" s="433"/>
      <c r="AC97" s="433"/>
      <c r="AD97" s="433"/>
      <c r="AE97" s="433"/>
      <c r="AF97" s="433"/>
      <c r="AG97" s="433"/>
      <c r="AH97" s="433"/>
      <c r="AI97" s="433"/>
      <c r="AJ97" s="433"/>
      <c r="AK97" s="433"/>
      <c r="AL97" s="433"/>
      <c r="AM97" s="433"/>
      <c r="AN97" s="433"/>
      <c r="AO97" s="433"/>
      <c r="AP97" s="433"/>
      <c r="AQ97" s="433"/>
      <c r="AR97" s="433"/>
      <c r="AS97" s="433"/>
      <c r="AT97" s="433"/>
      <c r="AU97" s="433"/>
      <c r="AV97" s="433"/>
      <c r="AW97" s="433"/>
      <c r="AX97" s="433"/>
      <c r="AY97" s="433"/>
      <c r="AZ97" s="433"/>
      <c r="BA97" s="433"/>
      <c r="BB97" s="433"/>
      <c r="BC97" s="433"/>
      <c r="BD97" s="433"/>
      <c r="BE97" s="433"/>
      <c r="BF97" s="433"/>
      <c r="BG97" s="433"/>
      <c r="BH97" s="433"/>
      <c r="BI97" s="433"/>
      <c r="BJ97" s="433"/>
      <c r="BK97" s="433"/>
      <c r="BL97" s="433"/>
      <c r="BM97" s="433"/>
      <c r="BN97" s="433"/>
      <c r="BO97" s="433"/>
      <c r="BP97" s="433"/>
      <c r="BQ97" s="433"/>
      <c r="BR97" s="433"/>
      <c r="BS97" s="433"/>
      <c r="BT97" s="433"/>
      <c r="BU97" s="433"/>
      <c r="BV97" s="433"/>
      <c r="BW97" s="433"/>
      <c r="BX97" s="433"/>
      <c r="BY97" s="433"/>
      <c r="BZ97" s="433"/>
      <c r="CA97" s="433"/>
      <c r="CB97" s="433"/>
      <c r="CC97" s="433"/>
      <c r="CD97" s="433"/>
    </row>
    <row r="98" spans="1:82" ht="13.5" customHeight="1">
      <c r="A98" s="405" t="s">
        <v>775</v>
      </c>
      <c r="B98" s="1067">
        <f>'4 bbb Önkorm'!BO98+'4 ba Polg Hiv'!BC102+'4 a Intézmények'!CD98</f>
        <v>0</v>
      </c>
      <c r="C98" s="1067">
        <f>'4 bbb Önkorm'!BP98+'4 ba Polg Hiv'!BD102+'4 a Intézmények'!CE98</f>
        <v>0</v>
      </c>
      <c r="D98" s="1091">
        <f>'4 bbb Önkorm'!BQ98+'4 ba Polg Hiv'!BE102+'4 a Intézmények'!CF98</f>
        <v>0</v>
      </c>
      <c r="E98" s="1067">
        <f>'4 bbb Önkorm'!BR98+'4 ba Polg Hiv'!BF102+'4 a Intézmények'!CG98</f>
        <v>45682781</v>
      </c>
      <c r="F98" s="1067">
        <f>'4 bbb Önkorm'!BS98+'4 ba Polg Hiv'!BG102+'4 a Intézmények'!CH98</f>
        <v>45682781</v>
      </c>
      <c r="G98" s="1010"/>
      <c r="H98" s="1011"/>
      <c r="I98" s="1009"/>
      <c r="J98" s="1010">
        <f t="shared" si="58"/>
        <v>0</v>
      </c>
      <c r="K98" s="1100"/>
      <c r="L98" s="1010"/>
      <c r="M98" s="1011"/>
      <c r="N98" s="1009"/>
      <c r="O98" s="1010">
        <f t="shared" si="59"/>
        <v>0</v>
      </c>
      <c r="P98" s="1099"/>
      <c r="Q98" s="1106">
        <f t="shared" si="68"/>
        <v>0</v>
      </c>
      <c r="R98" s="1106">
        <f t="shared" si="60"/>
        <v>0</v>
      </c>
      <c r="S98" s="1097">
        <f t="shared" si="61"/>
        <v>0</v>
      </c>
      <c r="T98" s="1015">
        <f t="shared" si="62"/>
        <v>0</v>
      </c>
      <c r="U98" s="1020"/>
      <c r="V98" s="1007">
        <f t="shared" si="70"/>
        <v>0</v>
      </c>
      <c r="W98" s="1007">
        <f t="shared" si="63"/>
        <v>0</v>
      </c>
      <c r="X98" s="1219">
        <f t="shared" si="64"/>
        <v>0</v>
      </c>
      <c r="Y98" s="1015">
        <f t="shared" si="71"/>
        <v>45682781</v>
      </c>
      <c r="Z98" s="1015">
        <f t="shared" si="65"/>
        <v>45682781</v>
      </c>
      <c r="AA98" s="433"/>
      <c r="AB98" s="433"/>
      <c r="AC98" s="433"/>
      <c r="AD98" s="433"/>
      <c r="AE98" s="433"/>
      <c r="AF98" s="433"/>
      <c r="AG98" s="433"/>
      <c r="AH98" s="433"/>
      <c r="AI98" s="433"/>
      <c r="AJ98" s="433"/>
      <c r="AK98" s="433"/>
      <c r="AL98" s="433"/>
      <c r="AM98" s="433"/>
      <c r="AN98" s="433"/>
      <c r="AO98" s="433"/>
      <c r="AP98" s="433"/>
      <c r="AQ98" s="433"/>
      <c r="AR98" s="433"/>
      <c r="AS98" s="433"/>
      <c r="AT98" s="433"/>
      <c r="AU98" s="433"/>
      <c r="AV98" s="433"/>
      <c r="AW98" s="433"/>
      <c r="AX98" s="433"/>
      <c r="AY98" s="433"/>
      <c r="AZ98" s="433"/>
      <c r="BA98" s="433"/>
      <c r="BB98" s="433"/>
      <c r="BC98" s="433"/>
      <c r="BD98" s="433"/>
      <c r="BE98" s="433"/>
      <c r="BF98" s="433"/>
      <c r="BG98" s="433"/>
      <c r="BH98" s="433"/>
      <c r="BI98" s="433"/>
      <c r="BJ98" s="433"/>
      <c r="BK98" s="433"/>
      <c r="BL98" s="433"/>
      <c r="BM98" s="433"/>
      <c r="BN98" s="433"/>
      <c r="BO98" s="433"/>
      <c r="BP98" s="433"/>
      <c r="BQ98" s="433"/>
      <c r="BR98" s="433"/>
      <c r="BS98" s="433"/>
      <c r="BT98" s="433"/>
      <c r="BU98" s="433"/>
      <c r="BV98" s="433"/>
      <c r="BW98" s="433"/>
      <c r="BX98" s="433"/>
      <c r="BY98" s="433"/>
      <c r="BZ98" s="433"/>
      <c r="CA98" s="433"/>
      <c r="CB98" s="433"/>
      <c r="CC98" s="433"/>
      <c r="CD98" s="433"/>
    </row>
    <row r="99" spans="1:82" ht="13.5" customHeight="1">
      <c r="A99" s="405" t="s">
        <v>776</v>
      </c>
      <c r="B99" s="1067">
        <f>'4 bbb Önkorm'!BO99+'4 ba Polg Hiv'!BC104+'4 a Intézmények'!CD99</f>
        <v>2049522298</v>
      </c>
      <c r="C99" s="1067">
        <f>'4 bbb Önkorm'!BP99+'4 ba Polg Hiv'!BD104+'4 a Intézmények'!CE99</f>
        <v>2084036598</v>
      </c>
      <c r="D99" s="1091">
        <f>'4 bbb Önkorm'!BQ99+'4 ba Polg Hiv'!BE104+'4 a Intézmények'!CF99</f>
        <v>23161910</v>
      </c>
      <c r="E99" s="1015">
        <f>'4 bbb Önkorm'!BR99+'4 ba Polg Hiv'!BF104+'4 a Intézmények'!CG99</f>
        <v>2197159113</v>
      </c>
      <c r="F99" s="1015">
        <f>'4 bbb Önkorm'!BS99+'4 ba Polg Hiv'!BG104+'4 a Intézmények'!CH99</f>
        <v>2197159113</v>
      </c>
      <c r="G99" s="1094">
        <v>-2048936447</v>
      </c>
      <c r="H99" s="1094">
        <v>-2082175667</v>
      </c>
      <c r="I99" s="1084">
        <v>-21974968</v>
      </c>
      <c r="J99" s="1099">
        <f>SUM(H99+I99)-9424756+637794-76633423</f>
        <v>-2189571020</v>
      </c>
      <c r="K99" s="1100">
        <v>-2189571020</v>
      </c>
      <c r="L99" s="1099">
        <v>-585851</v>
      </c>
      <c r="M99" s="1094">
        <v>-1860931</v>
      </c>
      <c r="N99" s="1084">
        <v>-1186942</v>
      </c>
      <c r="O99" s="1099">
        <f>SUM(M99+N99)-637794-3902426</f>
        <v>-7588093</v>
      </c>
      <c r="P99" s="1099">
        <v>-7588093</v>
      </c>
      <c r="Q99" s="1106">
        <f t="shared" si="68"/>
        <v>-2049522298</v>
      </c>
      <c r="R99" s="1106">
        <f t="shared" si="60"/>
        <v>-2084036598</v>
      </c>
      <c r="S99" s="1106">
        <f t="shared" si="61"/>
        <v>-23161910</v>
      </c>
      <c r="T99" s="1106">
        <f t="shared" ref="T99:U102" si="72">J99+O99</f>
        <v>-2197159113</v>
      </c>
      <c r="U99" s="1020">
        <f t="shared" si="72"/>
        <v>-2197159113</v>
      </c>
      <c r="V99" s="1007">
        <f t="shared" si="70"/>
        <v>0</v>
      </c>
      <c r="W99" s="1007">
        <f t="shared" si="63"/>
        <v>0</v>
      </c>
      <c r="X99" s="1219">
        <f t="shared" si="64"/>
        <v>0</v>
      </c>
      <c r="Y99" s="1015">
        <f t="shared" si="71"/>
        <v>0</v>
      </c>
      <c r="Z99" s="1015">
        <f t="shared" si="65"/>
        <v>0</v>
      </c>
      <c r="AA99" s="433"/>
      <c r="AB99" s="433"/>
      <c r="AC99" s="433"/>
      <c r="AD99" s="433"/>
      <c r="AE99" s="433"/>
      <c r="AF99" s="433"/>
      <c r="AG99" s="433"/>
      <c r="AH99" s="433"/>
      <c r="AI99" s="433"/>
      <c r="AJ99" s="433"/>
      <c r="AK99" s="433"/>
      <c r="AL99" s="433"/>
      <c r="AM99" s="433"/>
      <c r="AN99" s="433"/>
      <c r="AO99" s="433"/>
      <c r="AP99" s="433"/>
      <c r="AQ99" s="433"/>
      <c r="AR99" s="433"/>
      <c r="AS99" s="433"/>
      <c r="AT99" s="433"/>
      <c r="AU99" s="433"/>
      <c r="AV99" s="433"/>
      <c r="AW99" s="433"/>
      <c r="AX99" s="433"/>
      <c r="AY99" s="433"/>
      <c r="AZ99" s="433"/>
      <c r="BA99" s="433"/>
      <c r="BB99" s="433"/>
      <c r="BC99" s="433"/>
      <c r="BD99" s="433"/>
      <c r="BE99" s="433"/>
      <c r="BF99" s="433"/>
      <c r="BG99" s="433"/>
      <c r="BH99" s="433"/>
      <c r="BI99" s="433"/>
      <c r="BJ99" s="433"/>
      <c r="BK99" s="433"/>
      <c r="BL99" s="433"/>
      <c r="BM99" s="433"/>
      <c r="BN99" s="433"/>
      <c r="BO99" s="433"/>
      <c r="BP99" s="433"/>
      <c r="BQ99" s="433"/>
      <c r="BR99" s="433"/>
      <c r="BS99" s="433"/>
      <c r="BT99" s="433"/>
      <c r="BU99" s="433"/>
      <c r="BV99" s="433"/>
      <c r="BW99" s="433"/>
      <c r="BX99" s="433"/>
      <c r="BY99" s="433"/>
      <c r="BZ99" s="433"/>
      <c r="CA99" s="433"/>
      <c r="CB99" s="433"/>
      <c r="CC99" s="433"/>
      <c r="CD99" s="433"/>
    </row>
    <row r="100" spans="1:82" ht="13.5" customHeight="1">
      <c r="A100" s="442" t="s">
        <v>777</v>
      </c>
      <c r="B100" s="1067">
        <f>'4 bbb Önkorm'!BO100+'4 ba Polg Hiv'!BC105+'4 a Intézmények'!CD100</f>
        <v>5168694000</v>
      </c>
      <c r="C100" s="1067">
        <f>'4 bbb Önkorm'!BP100+'4 ba Polg Hiv'!BD105+'4 a Intézmények'!CE100</f>
        <v>5178738007</v>
      </c>
      <c r="D100" s="1091">
        <f>'4 bbb Önkorm'!BQ100+'4 ba Polg Hiv'!BE105+'4 a Intézmények'!CF100</f>
        <v>-26423207</v>
      </c>
      <c r="E100" s="1015">
        <f>'4 bbb Önkorm'!BR100+'4 ba Polg Hiv'!BF105+'4 a Intézmények'!CG100</f>
        <v>5160549464</v>
      </c>
      <c r="F100" s="1015">
        <f>'4 bbb Önkorm'!BS100+'4 ba Polg Hiv'!BG105+'4 a Intézmények'!CH100</f>
        <v>4450264173</v>
      </c>
      <c r="G100" s="1094">
        <v>-3367394000</v>
      </c>
      <c r="H100" s="1094">
        <v>-3362121007</v>
      </c>
      <c r="I100" s="1084">
        <v>27253123</v>
      </c>
      <c r="J100" s="1099">
        <f>SUM(H100+I100)-150000+4616130</f>
        <v>-3330401754</v>
      </c>
      <c r="K100" s="1100">
        <v>-2943087471</v>
      </c>
      <c r="L100" s="1094">
        <v>-1801300000</v>
      </c>
      <c r="M100" s="1094">
        <v>-1816617000</v>
      </c>
      <c r="N100" s="1084">
        <v>-829916</v>
      </c>
      <c r="O100" s="1099">
        <f>SUM(M100+N100)-12700794</f>
        <v>-1830147710</v>
      </c>
      <c r="P100" s="1099">
        <f>-1507288314+111612</f>
        <v>-1507176702</v>
      </c>
      <c r="Q100" s="1106">
        <f t="shared" si="68"/>
        <v>-5168694000</v>
      </c>
      <c r="R100" s="1106">
        <f t="shared" si="60"/>
        <v>-5178738007</v>
      </c>
      <c r="S100" s="1097">
        <f t="shared" si="61"/>
        <v>26423207</v>
      </c>
      <c r="T100" s="1106">
        <f t="shared" si="72"/>
        <v>-5160549464</v>
      </c>
      <c r="U100" s="1020">
        <f t="shared" si="72"/>
        <v>-4450264173</v>
      </c>
      <c r="V100" s="1007">
        <f t="shared" si="70"/>
        <v>0</v>
      </c>
      <c r="W100" s="1007">
        <f t="shared" si="63"/>
        <v>0</v>
      </c>
      <c r="X100" s="1219">
        <f t="shared" si="64"/>
        <v>0</v>
      </c>
      <c r="Y100" s="1015">
        <f t="shared" si="71"/>
        <v>0</v>
      </c>
      <c r="Z100" s="1015">
        <f t="shared" si="65"/>
        <v>0</v>
      </c>
      <c r="AA100" s="433"/>
      <c r="AB100" s="433"/>
      <c r="AC100" s="433"/>
      <c r="AD100" s="433"/>
      <c r="AE100" s="433"/>
      <c r="AF100" s="433"/>
      <c r="AG100" s="433"/>
      <c r="AH100" s="433"/>
      <c r="AI100" s="433"/>
      <c r="AJ100" s="433"/>
      <c r="AK100" s="433"/>
      <c r="AL100" s="433"/>
      <c r="AM100" s="433"/>
      <c r="AN100" s="433"/>
      <c r="AO100" s="433"/>
      <c r="AP100" s="433"/>
      <c r="AQ100" s="433"/>
      <c r="AR100" s="433"/>
      <c r="AS100" s="433"/>
      <c r="AT100" s="433"/>
      <c r="AU100" s="433"/>
      <c r="AV100" s="433"/>
      <c r="AW100" s="433"/>
      <c r="AX100" s="433"/>
      <c r="AY100" s="433"/>
      <c r="AZ100" s="433"/>
      <c r="BA100" s="433"/>
      <c r="BB100" s="433"/>
      <c r="BC100" s="433"/>
      <c r="BD100" s="433"/>
      <c r="BE100" s="433"/>
      <c r="BF100" s="433"/>
      <c r="BG100" s="433"/>
      <c r="BH100" s="433"/>
      <c r="BI100" s="433"/>
      <c r="BJ100" s="433"/>
      <c r="BK100" s="433"/>
      <c r="BL100" s="433"/>
      <c r="BM100" s="433"/>
      <c r="BN100" s="433"/>
      <c r="BO100" s="433"/>
      <c r="BP100" s="433"/>
      <c r="BQ100" s="433"/>
      <c r="BR100" s="433"/>
      <c r="BS100" s="433"/>
      <c r="BT100" s="433"/>
      <c r="BU100" s="433"/>
      <c r="BV100" s="433"/>
      <c r="BW100" s="433"/>
      <c r="BX100" s="433"/>
      <c r="BY100" s="433"/>
      <c r="BZ100" s="433"/>
      <c r="CA100" s="433"/>
      <c r="CB100" s="433"/>
      <c r="CC100" s="433"/>
      <c r="CD100" s="433"/>
    </row>
    <row r="101" spans="1:82" ht="13.5" customHeight="1">
      <c r="A101" s="405" t="s">
        <v>778</v>
      </c>
      <c r="B101" s="1067">
        <f>'4 bbb Önkorm'!BO101+'4 ba Polg Hiv'!BC106+'4 a Intézmények'!CD101</f>
        <v>0</v>
      </c>
      <c r="C101" s="1067">
        <f>'4 bbb Önkorm'!BP101+'4 ba Polg Hiv'!BD106+'4 a Intézmények'!CE101</f>
        <v>0</v>
      </c>
      <c r="D101" s="1091">
        <f>'4 bbb Önkorm'!BQ101+'4 ba Polg Hiv'!BE106+'4 a Intézmények'!CF101</f>
        <v>0</v>
      </c>
      <c r="E101" s="1015">
        <f>'4 bbb Önkorm'!BR101+'4 ba Polg Hiv'!BF106+'4 a Intézmények'!CG101</f>
        <v>3517000</v>
      </c>
      <c r="F101" s="1015">
        <f>'4 bbb Önkorm'!BS101+'4 ba Polg Hiv'!BG106+'4 a Intézmények'!CH101</f>
        <v>3517000</v>
      </c>
      <c r="G101" s="1094"/>
      <c r="H101" s="1094"/>
      <c r="I101" s="1084"/>
      <c r="J101" s="1099">
        <v>-3517000</v>
      </c>
      <c r="K101" s="1100">
        <v>-3517000</v>
      </c>
      <c r="L101" s="1094"/>
      <c r="M101" s="1094"/>
      <c r="N101" s="1084"/>
      <c r="O101" s="1099">
        <f>SUM(M101+N101)</f>
        <v>0</v>
      </c>
      <c r="P101" s="1099"/>
      <c r="Q101" s="1106">
        <f t="shared" si="68"/>
        <v>0</v>
      </c>
      <c r="R101" s="1106">
        <f t="shared" si="60"/>
        <v>0</v>
      </c>
      <c r="S101" s="1097">
        <f t="shared" si="61"/>
        <v>0</v>
      </c>
      <c r="T101" s="1106">
        <f t="shared" si="72"/>
        <v>-3517000</v>
      </c>
      <c r="U101" s="1020">
        <f t="shared" si="72"/>
        <v>-3517000</v>
      </c>
      <c r="V101" s="1007">
        <f t="shared" si="70"/>
        <v>0</v>
      </c>
      <c r="W101" s="1007">
        <f t="shared" si="63"/>
        <v>0</v>
      </c>
      <c r="X101" s="1219">
        <f t="shared" si="64"/>
        <v>0</v>
      </c>
      <c r="Y101" s="1015">
        <f t="shared" si="71"/>
        <v>0</v>
      </c>
      <c r="Z101" s="1015">
        <f t="shared" si="65"/>
        <v>0</v>
      </c>
      <c r="AA101" s="433"/>
      <c r="AB101" s="433"/>
      <c r="AC101" s="433"/>
      <c r="AD101" s="433"/>
      <c r="AE101" s="433"/>
      <c r="AF101" s="433"/>
      <c r="AG101" s="433"/>
      <c r="AH101" s="433"/>
      <c r="AI101" s="433"/>
      <c r="AJ101" s="433"/>
      <c r="AK101" s="433"/>
      <c r="AL101" s="433"/>
      <c r="AM101" s="433"/>
      <c r="AN101" s="433"/>
      <c r="AO101" s="433"/>
      <c r="AP101" s="433"/>
      <c r="AQ101" s="433"/>
      <c r="AR101" s="433"/>
      <c r="AS101" s="433"/>
      <c r="AT101" s="433"/>
      <c r="AU101" s="433"/>
      <c r="AV101" s="433"/>
      <c r="AW101" s="433"/>
      <c r="AX101" s="433"/>
      <c r="AY101" s="433"/>
      <c r="AZ101" s="433"/>
      <c r="BA101" s="433"/>
      <c r="BB101" s="433"/>
      <c r="BC101" s="433"/>
      <c r="BD101" s="433"/>
      <c r="BE101" s="433"/>
      <c r="BF101" s="433"/>
      <c r="BG101" s="433"/>
      <c r="BH101" s="433"/>
      <c r="BI101" s="433"/>
      <c r="BJ101" s="433"/>
      <c r="BK101" s="433"/>
      <c r="BL101" s="433"/>
      <c r="BM101" s="433"/>
      <c r="BN101" s="433"/>
      <c r="BO101" s="433"/>
      <c r="BP101" s="433"/>
      <c r="BQ101" s="433"/>
      <c r="BR101" s="433"/>
      <c r="BS101" s="433"/>
      <c r="BT101" s="433"/>
      <c r="BU101" s="433"/>
      <c r="BV101" s="433"/>
      <c r="BW101" s="433"/>
      <c r="BX101" s="433"/>
      <c r="BY101" s="433"/>
      <c r="BZ101" s="433"/>
      <c r="CA101" s="433"/>
      <c r="CB101" s="433"/>
      <c r="CC101" s="433"/>
      <c r="CD101" s="433"/>
    </row>
    <row r="102" spans="1:82" ht="13.5" customHeight="1">
      <c r="A102" s="405" t="s">
        <v>779</v>
      </c>
      <c r="B102" s="1067">
        <f>'4 bbb Önkorm'!BO102+'4 ba Polg Hiv'!BC107+'4 a Intézmények'!CD102</f>
        <v>906693000</v>
      </c>
      <c r="C102" s="1067">
        <f>'4 bbb Önkorm'!BP102+'4 ba Polg Hiv'!BD107+'4 a Intézmények'!CE102</f>
        <v>1149695333</v>
      </c>
      <c r="D102" s="1091">
        <f>'4 bbb Önkorm'!BQ102+'4 ba Polg Hiv'!BE107+'4 a Intézmények'!CF102</f>
        <v>-204727348</v>
      </c>
      <c r="E102" s="1015">
        <f>'4 bbb Önkorm'!BR102+'4 ba Polg Hiv'!BF107+'4 a Intézmények'!CG102</f>
        <v>929711234</v>
      </c>
      <c r="F102" s="1015">
        <f>'4 bbb Önkorm'!BS102+'4 ba Polg Hiv'!BG107+'4 a Intézmények'!CH102</f>
        <v>812905899</v>
      </c>
      <c r="G102" s="1094">
        <v>-813030000</v>
      </c>
      <c r="H102" s="1094">
        <v>-1031775333</v>
      </c>
      <c r="I102" s="1084">
        <v>204727348</v>
      </c>
      <c r="J102" s="1099">
        <f>SUM(H102+I102)+15439139</f>
        <v>-811608846</v>
      </c>
      <c r="K102" s="1100">
        <v>-708853372</v>
      </c>
      <c r="L102" s="1094">
        <v>-93663000</v>
      </c>
      <c r="M102" s="1094">
        <v>-117920000</v>
      </c>
      <c r="N102" s="1084"/>
      <c r="O102" s="1099">
        <f>SUM(M102+N102)-182388</f>
        <v>-118102388</v>
      </c>
      <c r="P102" s="1099">
        <f>-103940915-111612</f>
        <v>-104052527</v>
      </c>
      <c r="Q102" s="1106">
        <f t="shared" si="68"/>
        <v>-906693000</v>
      </c>
      <c r="R102" s="1106">
        <f t="shared" si="60"/>
        <v>-1149695333</v>
      </c>
      <c r="S102" s="1097">
        <f t="shared" si="61"/>
        <v>204727348</v>
      </c>
      <c r="T102" s="1106">
        <f t="shared" si="72"/>
        <v>-929711234</v>
      </c>
      <c r="U102" s="1020">
        <f t="shared" si="72"/>
        <v>-812905899</v>
      </c>
      <c r="V102" s="1007">
        <f t="shared" si="70"/>
        <v>0</v>
      </c>
      <c r="W102" s="1007">
        <f t="shared" si="63"/>
        <v>0</v>
      </c>
      <c r="X102" s="1219">
        <f t="shared" si="64"/>
        <v>0</v>
      </c>
      <c r="Y102" s="1015">
        <f t="shared" si="71"/>
        <v>0</v>
      </c>
      <c r="Z102" s="1015">
        <f t="shared" si="65"/>
        <v>0</v>
      </c>
      <c r="AA102" s="433"/>
      <c r="AB102" s="433"/>
      <c r="AC102" s="433"/>
      <c r="AD102" s="433"/>
      <c r="AE102" s="433"/>
      <c r="AF102" s="433"/>
      <c r="AG102" s="433"/>
      <c r="AH102" s="433"/>
      <c r="AI102" s="433"/>
      <c r="AJ102" s="433"/>
      <c r="AK102" s="433"/>
      <c r="AL102" s="433"/>
      <c r="AM102" s="433"/>
      <c r="AN102" s="433"/>
      <c r="AO102" s="433"/>
      <c r="AP102" s="433"/>
      <c r="AQ102" s="433"/>
      <c r="AR102" s="433"/>
      <c r="AS102" s="433"/>
      <c r="AT102" s="433"/>
      <c r="AU102" s="433"/>
      <c r="AV102" s="433"/>
      <c r="AW102" s="433"/>
      <c r="AX102" s="433"/>
      <c r="AY102" s="433"/>
      <c r="AZ102" s="433"/>
      <c r="BA102" s="433"/>
      <c r="BB102" s="433"/>
      <c r="BC102" s="433"/>
      <c r="BD102" s="433"/>
      <c r="BE102" s="433"/>
      <c r="BF102" s="433"/>
      <c r="BG102" s="433"/>
      <c r="BH102" s="433"/>
      <c r="BI102" s="433"/>
      <c r="BJ102" s="433"/>
      <c r="BK102" s="433"/>
      <c r="BL102" s="433"/>
      <c r="BM102" s="433"/>
      <c r="BN102" s="433"/>
      <c r="BO102" s="433"/>
      <c r="BP102" s="433"/>
      <c r="BQ102" s="433"/>
      <c r="BR102" s="433"/>
      <c r="BS102" s="433"/>
      <c r="BT102" s="433"/>
      <c r="BU102" s="433"/>
      <c r="BV102" s="433"/>
      <c r="BW102" s="433"/>
      <c r="BX102" s="433"/>
      <c r="BY102" s="433"/>
      <c r="BZ102" s="433"/>
      <c r="CA102" s="433"/>
      <c r="CB102" s="433"/>
      <c r="CC102" s="433"/>
      <c r="CD102" s="433"/>
    </row>
    <row r="103" spans="1:82" ht="17.25" hidden="1" customHeight="1">
      <c r="A103" s="405" t="s">
        <v>780</v>
      </c>
      <c r="B103" s="1067">
        <f>'4 bbb Önkorm'!BO103+'4 ba Polg Hiv'!BC108+'4 a Intézmények'!CD103</f>
        <v>0</v>
      </c>
      <c r="C103" s="1067">
        <f>'4 bbb Önkorm'!BP103+'4 ba Polg Hiv'!BD108+'4 a Intézmények'!CE103</f>
        <v>0</v>
      </c>
      <c r="D103" s="1091">
        <f>'4 bbb Önkorm'!BQ103+'4 ba Polg Hiv'!BE108+'4 a Intézmények'!CF103</f>
        <v>0</v>
      </c>
      <c r="E103" s="1015">
        <f>SUM(C103+D103)</f>
        <v>0</v>
      </c>
      <c r="F103" s="1026"/>
      <c r="G103" s="1010"/>
      <c r="H103" s="1011"/>
      <c r="I103" s="1009"/>
      <c r="J103" s="1010">
        <f>SUM(H103+I103)</f>
        <v>0</v>
      </c>
      <c r="K103" s="1200"/>
      <c r="L103" s="1010"/>
      <c r="M103" s="1011"/>
      <c r="N103" s="1009"/>
      <c r="O103" s="1010">
        <f>SUM(M103+N103)</f>
        <v>0</v>
      </c>
      <c r="P103" s="1010"/>
      <c r="Q103" s="1015"/>
      <c r="R103" s="1106">
        <f t="shared" si="60"/>
        <v>0</v>
      </c>
      <c r="S103" s="1218">
        <f t="shared" si="61"/>
        <v>0</v>
      </c>
      <c r="T103" s="1015">
        <f>SUM(R103+S103)</f>
        <v>0</v>
      </c>
      <c r="U103" s="1026"/>
      <c r="V103" s="1015"/>
      <c r="W103" s="1007">
        <f t="shared" si="63"/>
        <v>0</v>
      </c>
      <c r="X103" s="1197">
        <f t="shared" si="64"/>
        <v>0</v>
      </c>
      <c r="Y103" s="1015">
        <f>SUM(W103+X103)</f>
        <v>0</v>
      </c>
      <c r="Z103" s="434"/>
      <c r="AA103" s="433"/>
      <c r="AB103" s="433"/>
      <c r="AC103" s="433"/>
      <c r="AD103" s="433"/>
      <c r="AE103" s="433"/>
      <c r="AF103" s="433"/>
      <c r="AG103" s="433"/>
      <c r="AH103" s="433"/>
      <c r="AI103" s="433"/>
      <c r="AJ103" s="433"/>
      <c r="AK103" s="433"/>
      <c r="AL103" s="433"/>
      <c r="AM103" s="433"/>
      <c r="AN103" s="433"/>
      <c r="AO103" s="433"/>
      <c r="AP103" s="433"/>
      <c r="AQ103" s="433"/>
      <c r="AR103" s="433"/>
      <c r="AS103" s="433"/>
      <c r="AT103" s="433"/>
      <c r="AU103" s="433"/>
      <c r="AV103" s="433"/>
      <c r="AW103" s="433"/>
      <c r="AX103" s="433"/>
      <c r="AY103" s="433"/>
      <c r="AZ103" s="433"/>
      <c r="BA103" s="433"/>
      <c r="BB103" s="433"/>
      <c r="BC103" s="433"/>
      <c r="BD103" s="433"/>
      <c r="BE103" s="433"/>
      <c r="BF103" s="433"/>
      <c r="BG103" s="433"/>
      <c r="BH103" s="433"/>
      <c r="BI103" s="433"/>
      <c r="BJ103" s="433"/>
      <c r="BK103" s="433"/>
      <c r="BL103" s="433"/>
      <c r="BM103" s="433"/>
      <c r="BN103" s="433"/>
      <c r="BO103" s="433"/>
      <c r="BP103" s="433"/>
      <c r="BQ103" s="433"/>
      <c r="BR103" s="433"/>
      <c r="BS103" s="433"/>
      <c r="BT103" s="433"/>
      <c r="BU103" s="433"/>
      <c r="BV103" s="433"/>
      <c r="BW103" s="433"/>
      <c r="BX103" s="433"/>
      <c r="BY103" s="433"/>
      <c r="BZ103" s="433"/>
      <c r="CA103" s="433"/>
      <c r="CB103" s="433"/>
      <c r="CC103" s="433"/>
      <c r="CD103" s="433"/>
    </row>
    <row r="104" spans="1:82" s="630" customFormat="1" ht="15" customHeight="1" thickBot="1">
      <c r="A104" s="1055" t="s">
        <v>781</v>
      </c>
      <c r="B104" s="1023">
        <f>SUM(B88:B103)</f>
        <v>10544419298</v>
      </c>
      <c r="C104" s="1023">
        <f>SUM(C88:C103)</f>
        <v>12348828543</v>
      </c>
      <c r="D104" s="1023">
        <f>SUM(D88:D103)</f>
        <v>-209071979</v>
      </c>
      <c r="E104" s="1023">
        <f>SUM(E88:E102)</f>
        <v>18452736189</v>
      </c>
      <c r="F104" s="1023">
        <f>SUM(F88:F103)</f>
        <v>17625645551</v>
      </c>
      <c r="G104" s="1023">
        <f>SUM(G88:G103)</f>
        <v>-6229360447</v>
      </c>
      <c r="H104" s="1023">
        <f>SUM(H88:H103)</f>
        <v>-6476072007</v>
      </c>
      <c r="I104" s="1023">
        <f>SUM(I88:I103)</f>
        <v>210005503</v>
      </c>
      <c r="J104" s="1023">
        <f>SUM(J88:J102)</f>
        <v>-6335098620</v>
      </c>
      <c r="K104" s="1023">
        <f t="shared" ref="K104:V104" si="73">SUM(K88:K103)</f>
        <v>-5845028863</v>
      </c>
      <c r="L104" s="1023">
        <f t="shared" si="73"/>
        <v>-1895548851</v>
      </c>
      <c r="M104" s="1023">
        <f t="shared" si="73"/>
        <v>-1936397931</v>
      </c>
      <c r="N104" s="1023">
        <f t="shared" si="73"/>
        <v>-2016858</v>
      </c>
      <c r="O104" s="1023">
        <f t="shared" si="73"/>
        <v>-1955838191</v>
      </c>
      <c r="P104" s="1023">
        <f t="shared" si="73"/>
        <v>-1618817322</v>
      </c>
      <c r="Q104" s="1023">
        <f t="shared" si="73"/>
        <v>-8124909298</v>
      </c>
      <c r="R104" s="1023">
        <f t="shared" si="73"/>
        <v>-8412469938</v>
      </c>
      <c r="S104" s="1023">
        <f t="shared" si="73"/>
        <v>207988645</v>
      </c>
      <c r="T104" s="1023">
        <f t="shared" si="73"/>
        <v>-8290936811</v>
      </c>
      <c r="U104" s="1023">
        <f t="shared" si="73"/>
        <v>-7463846185</v>
      </c>
      <c r="V104" s="1023">
        <f t="shared" si="73"/>
        <v>2419510000</v>
      </c>
      <c r="W104" s="1023">
        <f>SUM(W88:W103)</f>
        <v>3936358605</v>
      </c>
      <c r="X104" s="1023">
        <f>SUM(X88:X103)</f>
        <v>-1083334</v>
      </c>
      <c r="Y104" s="1023">
        <f>SUM(Y88:Y103)</f>
        <v>10161799378</v>
      </c>
      <c r="Z104" s="1023">
        <f>SUM(Z88:Z103)</f>
        <v>10161799366</v>
      </c>
    </row>
    <row r="105" spans="1:82" s="630" customFormat="1" ht="15" customHeight="1" thickBot="1">
      <c r="A105" s="1113" t="s">
        <v>782</v>
      </c>
      <c r="B105" s="1030">
        <f t="shared" ref="B105:Z105" si="74">SUM(B87+B104)</f>
        <v>24474371583</v>
      </c>
      <c r="C105" s="1030">
        <f t="shared" si="74"/>
        <v>26525509439</v>
      </c>
      <c r="D105" s="1030">
        <f t="shared" si="74"/>
        <v>-175460329</v>
      </c>
      <c r="E105" s="1030">
        <f t="shared" si="74"/>
        <v>33240944720</v>
      </c>
      <c r="F105" s="1030">
        <f t="shared" si="74"/>
        <v>32292668009</v>
      </c>
      <c r="G105" s="1030">
        <f t="shared" si="74"/>
        <v>-6229360447</v>
      </c>
      <c r="H105" s="1030">
        <f t="shared" si="74"/>
        <v>-6476072007</v>
      </c>
      <c r="I105" s="1030">
        <f t="shared" si="74"/>
        <v>210005503</v>
      </c>
      <c r="J105" s="1030">
        <f t="shared" si="74"/>
        <v>-6335098620</v>
      </c>
      <c r="K105" s="1030">
        <f t="shared" si="74"/>
        <v>-5845028863</v>
      </c>
      <c r="L105" s="1030">
        <f t="shared" si="74"/>
        <v>-1895548851</v>
      </c>
      <c r="M105" s="1030">
        <f t="shared" si="74"/>
        <v>-1936397931</v>
      </c>
      <c r="N105" s="1030">
        <f t="shared" si="74"/>
        <v>-2016858</v>
      </c>
      <c r="O105" s="1030">
        <f t="shared" si="74"/>
        <v>-1955838191</v>
      </c>
      <c r="P105" s="1030">
        <f t="shared" si="74"/>
        <v>-1618817322</v>
      </c>
      <c r="Q105" s="1030">
        <f t="shared" si="74"/>
        <v>-8124909298</v>
      </c>
      <c r="R105" s="1030">
        <f t="shared" si="74"/>
        <v>-8412469938</v>
      </c>
      <c r="S105" s="1030">
        <f t="shared" si="74"/>
        <v>207988645</v>
      </c>
      <c r="T105" s="1030">
        <f t="shared" si="74"/>
        <v>-8290936811</v>
      </c>
      <c r="U105" s="1030">
        <f t="shared" si="74"/>
        <v>-7463846185</v>
      </c>
      <c r="V105" s="1030">
        <f t="shared" si="74"/>
        <v>16349462285</v>
      </c>
      <c r="W105" s="1030">
        <f t="shared" si="74"/>
        <v>18113039501</v>
      </c>
      <c r="X105" s="1030">
        <f t="shared" si="74"/>
        <v>32528316</v>
      </c>
      <c r="Y105" s="1030">
        <f t="shared" si="74"/>
        <v>24950007909</v>
      </c>
      <c r="Z105" s="1030">
        <f t="shared" si="74"/>
        <v>24828821824</v>
      </c>
    </row>
    <row r="106" spans="1:82" s="406" customFormat="1" ht="15" hidden="1" customHeight="1">
      <c r="A106" s="630" t="s">
        <v>783</v>
      </c>
      <c r="B106" s="1013">
        <f>'4 bbb Önkorm'!BO106+'4 ba Polg Hiv'!BC111+'4 a Intézmények'!CD99+'4 a Intézmények'!CD101</f>
        <v>2049067976</v>
      </c>
      <c r="C106" s="1013">
        <f>'4 bbb Önkorm'!BP106+'4 ba Polg Hiv'!BD111+'4 a Intézmények'!CE99+'4 a Intézmények'!CE101</f>
        <v>2087946798</v>
      </c>
      <c r="D106" s="1020">
        <f>'4 bbb Önkorm'!BQ106+'4 ba Polg Hiv'!BE111+'4 a Intézmények'!CF99+'4 a Intézmények'!CF101</f>
        <v>762651710</v>
      </c>
      <c r="E106" s="1013">
        <f>SUM(C106+D106)</f>
        <v>2850598508</v>
      </c>
      <c r="F106" s="1023">
        <f>SUM(F90:F105)</f>
        <v>67543959111</v>
      </c>
      <c r="G106" s="1099">
        <f>SUM(G61-G105)</f>
        <v>0</v>
      </c>
      <c r="H106" s="1099">
        <f>SUM(H61-H105)</f>
        <v>0</v>
      </c>
      <c r="I106" s="1100">
        <f>SUM(I61-I105)</f>
        <v>0</v>
      </c>
      <c r="J106" s="1099">
        <f>SUM(H106+I106)</f>
        <v>0</v>
      </c>
      <c r="K106" s="1100">
        <f>H106-G106</f>
        <v>0</v>
      </c>
      <c r="L106" s="1099">
        <f>SUM(L61-L105)</f>
        <v>0</v>
      </c>
      <c r="M106" s="1099">
        <f>SUM(M61-M105)</f>
        <v>0</v>
      </c>
      <c r="N106" s="1099">
        <f>SUM(N61-N105)</f>
        <v>0</v>
      </c>
      <c r="O106" s="1099">
        <f>SUM(M106+N106)</f>
        <v>0</v>
      </c>
      <c r="P106" s="1099">
        <f>M106-L106</f>
        <v>0</v>
      </c>
      <c r="Q106" s="1013">
        <f>SUM(Q61-Q105)</f>
        <v>0</v>
      </c>
      <c r="R106" s="1013">
        <f>SUM(R61-R105)</f>
        <v>0</v>
      </c>
      <c r="S106" s="1020">
        <f>SUM(S61-S105)</f>
        <v>0</v>
      </c>
      <c r="T106" s="1013">
        <f>SUM(R106+S106)</f>
        <v>0</v>
      </c>
      <c r="U106" s="1020">
        <f>R106-Q106</f>
        <v>0</v>
      </c>
      <c r="V106" s="1013">
        <f>SUM(V61-V105)</f>
        <v>0</v>
      </c>
      <c r="W106" s="1013">
        <f>SUM(W61-W105)</f>
        <v>0</v>
      </c>
      <c r="X106" s="1020">
        <f>SUM(X61-X105)</f>
        <v>0</v>
      </c>
      <c r="Y106" s="1013">
        <f>SUM(W106+X106)</f>
        <v>0</v>
      </c>
      <c r="Z106" s="1020">
        <f>W106-V106</f>
        <v>0</v>
      </c>
    </row>
    <row r="107" spans="1:82" ht="15" hidden="1" customHeight="1">
      <c r="F107" s="1023">
        <f>SUM(F91:F106)</f>
        <v>135087918222</v>
      </c>
      <c r="W107" s="809"/>
      <c r="X107" s="519"/>
    </row>
    <row r="108" spans="1:82" ht="15" hidden="1" customHeight="1">
      <c r="F108" s="1023">
        <f>SUM(F92:F107)</f>
        <v>270175836444</v>
      </c>
      <c r="W108" s="809"/>
      <c r="X108" s="519"/>
    </row>
    <row r="109" spans="1:82" ht="15" customHeight="1">
      <c r="M109" s="633"/>
    </row>
    <row r="110" spans="1:82" ht="15" customHeight="1">
      <c r="X110" s="519"/>
    </row>
    <row r="111" spans="1:82" ht="15" customHeight="1"/>
    <row r="112" spans="1:8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</sheetData>
  <sheetProtection selectLockedCells="1" selectUnlockedCells="1"/>
  <mergeCells count="19">
    <mergeCell ref="G3:K3"/>
    <mergeCell ref="L3:P3"/>
    <mergeCell ref="Q3:U3"/>
    <mergeCell ref="V3:Z3"/>
    <mergeCell ref="C4:E4"/>
    <mergeCell ref="H4:J4"/>
    <mergeCell ref="M4:O4"/>
    <mergeCell ref="R4:T4"/>
    <mergeCell ref="W4:Y4"/>
    <mergeCell ref="B2:F2"/>
    <mergeCell ref="G2:K2"/>
    <mergeCell ref="L2:P2"/>
    <mergeCell ref="Q2:U2"/>
    <mergeCell ref="V2:Z2"/>
    <mergeCell ref="B1:F1"/>
    <mergeCell ref="G1:K1"/>
    <mergeCell ref="L1:P1"/>
    <mergeCell ref="Q1:U1"/>
    <mergeCell ref="V1:Z1"/>
  </mergeCells>
  <conditionalFormatting sqref="AB62:AB65 AB67">
    <cfRule type="cellIs" dxfId="0" priority="1" stopIfTrue="1" operator="greaterThan">
      <formula>25</formula>
    </cfRule>
  </conditionalFormatting>
  <printOptions horizontalCentered="1"/>
  <pageMargins left="0.39370078740157483" right="0.39370078740157483" top="0.47244094488188981" bottom="0.35433070866141736" header="7.874015748031496E-2" footer="0.19685039370078741"/>
  <pageSetup paperSize="9" scale="59" firstPageNumber="0" orientation="portrait" horizontalDpi="300" verticalDpi="300" r:id="rId1"/>
  <headerFooter alignWithMargins="0">
    <oddHeader>&amp;C
A&amp;"Arial CE,Félkövér" XV.kerületi Önkormányzat 2016.évi  előirányzatának teljesítése (Ft)&amp;R&amp;8 4.3. m. a 2016. évi költségvetésről szóló 5/2016. (II.29.) ök.rendelet végrehajtásáról szóló 11/2017. (V.3.) ök. rendelethez</oddHeader>
    <oddFooter>&amp;C&amp;8                &amp;P. oldal</oddFooter>
  </headerFooter>
  <colBreaks count="2" manualBreakCount="2">
    <brk id="11" max="104" man="1"/>
    <brk id="21" max="10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  <pageSetUpPr fitToPage="1"/>
  </sheetPr>
  <dimension ref="A1:G108"/>
  <sheetViews>
    <sheetView view="pageBreakPreview" zoomScaleSheetLayoutView="100" workbookViewId="0">
      <selection activeCell="U127" sqref="U127"/>
    </sheetView>
  </sheetViews>
  <sheetFormatPr defaultRowHeight="15"/>
  <cols>
    <col min="1" max="1" width="48.85546875" style="293" customWidth="1"/>
    <col min="2" max="2" width="8.42578125" style="293" customWidth="1"/>
    <col min="3" max="3" width="12.42578125" style="306" customWidth="1"/>
    <col min="4" max="4" width="0" style="632" hidden="1" customWidth="1"/>
    <col min="5" max="5" width="0" style="1223" hidden="1" customWidth="1"/>
    <col min="6" max="6" width="14.42578125" style="293" customWidth="1"/>
    <col min="7" max="7" width="9.140625" style="1682" hidden="1" customWidth="1"/>
    <col min="8" max="16384" width="9.140625" style="293"/>
  </cols>
  <sheetData>
    <row r="1" spans="1:7" ht="35.25" customHeight="1">
      <c r="A1" s="1771" t="s">
        <v>1344</v>
      </c>
      <c r="B1" s="1771"/>
      <c r="C1" s="1771"/>
      <c r="D1" s="1771"/>
      <c r="E1" s="1771"/>
      <c r="F1" s="1771"/>
    </row>
    <row r="2" spans="1:7" ht="15" customHeight="1">
      <c r="A2" s="1225"/>
      <c r="B2" s="1225"/>
      <c r="C2" s="1226"/>
      <c r="D2" s="1227"/>
      <c r="E2" s="1228"/>
      <c r="F2" s="1229" t="s">
        <v>0</v>
      </c>
    </row>
    <row r="3" spans="1:7" ht="42.75">
      <c r="A3" s="1772" t="s">
        <v>68</v>
      </c>
      <c r="B3" s="1772"/>
      <c r="C3" s="300" t="s">
        <v>2</v>
      </c>
      <c r="D3" s="1231" t="s">
        <v>139</v>
      </c>
      <c r="E3" s="1232" t="s">
        <v>4</v>
      </c>
      <c r="F3" s="1231" t="s">
        <v>912</v>
      </c>
      <c r="G3" s="1683" t="s">
        <v>913</v>
      </c>
    </row>
    <row r="4" spans="1:7" ht="15" customHeight="1">
      <c r="A4" s="294"/>
      <c r="B4" s="294"/>
      <c r="C4" s="295"/>
      <c r="D4" s="302"/>
      <c r="E4" s="1233"/>
      <c r="F4" s="302"/>
    </row>
    <row r="5" spans="1:7" s="308" customFormat="1" ht="18.95" customHeight="1">
      <c r="A5" s="326" t="s">
        <v>914</v>
      </c>
      <c r="B5" s="326"/>
      <c r="C5" s="373"/>
      <c r="D5" s="1234"/>
      <c r="E5" s="1235"/>
      <c r="G5" s="1684"/>
    </row>
    <row r="6" spans="1:7" ht="12" hidden="1" customHeight="1">
      <c r="A6" s="919"/>
      <c r="B6" s="919"/>
      <c r="C6" s="451"/>
      <c r="D6" s="451"/>
      <c r="E6" s="1137"/>
      <c r="F6" s="1137"/>
    </row>
    <row r="7" spans="1:7" ht="15" hidden="1" customHeight="1">
      <c r="A7" s="1236" t="s">
        <v>915</v>
      </c>
      <c r="B7" s="433"/>
      <c r="C7" s="432">
        <v>10000000</v>
      </c>
      <c r="D7" s="451">
        <v>10000000</v>
      </c>
      <c r="E7" s="1237">
        <v>-10000000</v>
      </c>
      <c r="F7" s="1238">
        <f>SUM(D7:E7)</f>
        <v>0</v>
      </c>
      <c r="G7" s="1685">
        <f t="shared" ref="G7:G27" si="0">D7-C7</f>
        <v>0</v>
      </c>
    </row>
    <row r="8" spans="1:7" ht="15" hidden="1" customHeight="1">
      <c r="A8" s="1236" t="s">
        <v>916</v>
      </c>
      <c r="B8" s="433"/>
      <c r="C8" s="432">
        <v>10000000</v>
      </c>
      <c r="D8" s="451">
        <v>10000000</v>
      </c>
      <c r="E8" s="1237">
        <v>-10000000</v>
      </c>
      <c r="F8" s="1238">
        <f>SUM(D8:E8)</f>
        <v>0</v>
      </c>
      <c r="G8" s="1685">
        <f t="shared" si="0"/>
        <v>0</v>
      </c>
    </row>
    <row r="9" spans="1:7" ht="15" customHeight="1">
      <c r="A9" s="1236" t="s">
        <v>917</v>
      </c>
      <c r="B9" s="433"/>
      <c r="C9" s="432">
        <v>12000000</v>
      </c>
      <c r="D9" s="451">
        <v>10558200</v>
      </c>
      <c r="E9" s="1237">
        <v>-2209776</v>
      </c>
      <c r="F9" s="1238">
        <v>660014</v>
      </c>
      <c r="G9" s="1685">
        <f t="shared" si="0"/>
        <v>-1441800</v>
      </c>
    </row>
    <row r="10" spans="1:7" ht="15" customHeight="1">
      <c r="A10" s="1236" t="s">
        <v>918</v>
      </c>
      <c r="B10" s="433"/>
      <c r="C10" s="430">
        <v>1500000</v>
      </c>
      <c r="D10" s="452">
        <v>3000000</v>
      </c>
      <c r="E10" s="1237">
        <v>-3000000</v>
      </c>
      <c r="F10" s="1238">
        <f>SUM(D10:E10)</f>
        <v>0</v>
      </c>
      <c r="G10" s="1685">
        <f t="shared" si="0"/>
        <v>1500000</v>
      </c>
    </row>
    <row r="11" spans="1:7" ht="15" customHeight="1">
      <c r="A11" s="1236" t="s">
        <v>919</v>
      </c>
      <c r="B11" s="433"/>
      <c r="C11" s="432">
        <v>10000000</v>
      </c>
      <c r="D11" s="451">
        <v>10000000</v>
      </c>
      <c r="E11" s="1237"/>
      <c r="F11" s="1238">
        <v>53620</v>
      </c>
      <c r="G11" s="1685">
        <f t="shared" si="0"/>
        <v>0</v>
      </c>
    </row>
    <row r="12" spans="1:7" ht="15" customHeight="1">
      <c r="A12" s="1236" t="s">
        <v>920</v>
      </c>
      <c r="B12" s="433"/>
      <c r="C12" s="430">
        <v>4500000</v>
      </c>
      <c r="D12" s="452">
        <v>4500000</v>
      </c>
      <c r="E12" s="1237"/>
      <c r="F12" s="1238">
        <f>SUM(D12:E12)</f>
        <v>4500000</v>
      </c>
      <c r="G12" s="1685">
        <f t="shared" si="0"/>
        <v>0</v>
      </c>
    </row>
    <row r="13" spans="1:7" ht="15" customHeight="1">
      <c r="A13" s="1236" t="s">
        <v>921</v>
      </c>
      <c r="B13" s="433"/>
      <c r="C13" s="430">
        <v>1000000</v>
      </c>
      <c r="D13" s="452">
        <v>1000000</v>
      </c>
      <c r="E13" s="1237">
        <v>-160000</v>
      </c>
      <c r="F13" s="1238">
        <v>560000</v>
      </c>
      <c r="G13" s="1685">
        <f t="shared" si="0"/>
        <v>0</v>
      </c>
    </row>
    <row r="14" spans="1:7" ht="15" customHeight="1">
      <c r="A14" s="1239" t="s">
        <v>922</v>
      </c>
      <c r="B14" s="297"/>
      <c r="C14" s="432">
        <v>4520000</v>
      </c>
      <c r="D14" s="451">
        <v>4520000</v>
      </c>
      <c r="E14" s="1237"/>
      <c r="F14" s="1238">
        <v>50000</v>
      </c>
      <c r="G14" s="1685">
        <f t="shared" si="0"/>
        <v>0</v>
      </c>
    </row>
    <row r="15" spans="1:7" ht="30.75" customHeight="1">
      <c r="A15" s="1236" t="s">
        <v>923</v>
      </c>
      <c r="B15" s="433"/>
      <c r="C15" s="432">
        <v>21500000</v>
      </c>
      <c r="D15" s="451">
        <v>21500000</v>
      </c>
      <c r="E15" s="1237">
        <v>-13956582</v>
      </c>
      <c r="F15" s="1238">
        <v>43418</v>
      </c>
      <c r="G15" s="1685">
        <f t="shared" si="0"/>
        <v>0</v>
      </c>
    </row>
    <row r="16" spans="1:7" ht="15" customHeight="1">
      <c r="A16" s="1236" t="s">
        <v>924</v>
      </c>
      <c r="B16" s="433"/>
      <c r="C16" s="430">
        <v>4000000</v>
      </c>
      <c r="D16" s="452">
        <v>4000000</v>
      </c>
      <c r="E16" s="1237"/>
      <c r="F16" s="1238">
        <v>0</v>
      </c>
      <c r="G16" s="1685">
        <f t="shared" si="0"/>
        <v>0</v>
      </c>
    </row>
    <row r="17" spans="1:7" ht="15" customHeight="1">
      <c r="A17" s="1236" t="s">
        <v>925</v>
      </c>
      <c r="B17" s="433"/>
      <c r="C17" s="430">
        <v>20000000</v>
      </c>
      <c r="D17" s="452">
        <f>25000000-5000000</f>
        <v>20000000</v>
      </c>
      <c r="E17" s="1237"/>
      <c r="F17" s="1238">
        <v>5930705</v>
      </c>
      <c r="G17" s="1685">
        <f t="shared" si="0"/>
        <v>0</v>
      </c>
    </row>
    <row r="18" spans="1:7" ht="17.25" customHeight="1">
      <c r="A18" s="1236" t="s">
        <v>926</v>
      </c>
      <c r="B18" s="433"/>
      <c r="C18" s="432">
        <v>55000000</v>
      </c>
      <c r="D18" s="451">
        <v>51648509</v>
      </c>
      <c r="E18" s="1237"/>
      <c r="F18" s="1238">
        <v>44232563</v>
      </c>
      <c r="G18" s="1685">
        <f t="shared" si="0"/>
        <v>-3351491</v>
      </c>
    </row>
    <row r="19" spans="1:7" ht="15" customHeight="1">
      <c r="A19" s="1236" t="s">
        <v>927</v>
      </c>
      <c r="B19" s="455"/>
      <c r="C19" s="432">
        <v>12000000</v>
      </c>
      <c r="D19" s="451">
        <v>12000000</v>
      </c>
      <c r="E19" s="1237">
        <v>-5760000</v>
      </c>
      <c r="F19" s="1238">
        <v>0</v>
      </c>
      <c r="G19" s="1685">
        <f t="shared" si="0"/>
        <v>0</v>
      </c>
    </row>
    <row r="20" spans="1:7" ht="15" customHeight="1">
      <c r="A20" s="1236" t="s">
        <v>928</v>
      </c>
      <c r="B20" s="433"/>
      <c r="C20" s="432">
        <v>5000000</v>
      </c>
      <c r="D20" s="451">
        <v>5000000</v>
      </c>
      <c r="E20" s="1237"/>
      <c r="F20" s="1238">
        <f>SUM(D20:E20)</f>
        <v>5000000</v>
      </c>
      <c r="G20" s="1685">
        <f t="shared" si="0"/>
        <v>0</v>
      </c>
    </row>
    <row r="21" spans="1:7" ht="15" customHeight="1">
      <c r="A21" s="1236" t="s">
        <v>929</v>
      </c>
      <c r="B21" s="433"/>
      <c r="C21" s="432">
        <v>8000000</v>
      </c>
      <c r="D21" s="451">
        <v>8000000</v>
      </c>
      <c r="E21" s="1237"/>
      <c r="F21" s="1238">
        <v>401527</v>
      </c>
      <c r="G21" s="1685">
        <f t="shared" si="0"/>
        <v>0</v>
      </c>
    </row>
    <row r="22" spans="1:7" ht="15" customHeight="1">
      <c r="A22" s="1236" t="s">
        <v>930</v>
      </c>
      <c r="B22" s="433"/>
      <c r="C22" s="432">
        <v>3000000</v>
      </c>
      <c r="D22" s="451">
        <v>2273000</v>
      </c>
      <c r="E22" s="1240">
        <v>-200000</v>
      </c>
      <c r="F22" s="1238">
        <v>996000</v>
      </c>
      <c r="G22" s="1685">
        <f t="shared" si="0"/>
        <v>-727000</v>
      </c>
    </row>
    <row r="23" spans="1:7" ht="15" customHeight="1">
      <c r="A23" s="1241" t="s">
        <v>931</v>
      </c>
      <c r="B23" s="433"/>
      <c r="C23" s="432"/>
      <c r="D23" s="451">
        <v>50000000</v>
      </c>
      <c r="E23" s="1240">
        <v>-18498846</v>
      </c>
      <c r="F23" s="1238">
        <v>7907562</v>
      </c>
      <c r="G23" s="1685">
        <f t="shared" si="0"/>
        <v>50000000</v>
      </c>
    </row>
    <row r="24" spans="1:7" ht="15.75" customHeight="1">
      <c r="A24" s="1236" t="s">
        <v>932</v>
      </c>
      <c r="B24" s="433"/>
      <c r="C24" s="432">
        <v>10000000</v>
      </c>
      <c r="D24" s="451">
        <v>10000000</v>
      </c>
      <c r="E24" s="1240"/>
      <c r="F24" s="1238">
        <f>SUM(D24:E24)</f>
        <v>10000000</v>
      </c>
      <c r="G24" s="1685">
        <f t="shared" si="0"/>
        <v>0</v>
      </c>
    </row>
    <row r="25" spans="1:7" ht="15.75" customHeight="1">
      <c r="A25" s="1236" t="s">
        <v>933</v>
      </c>
      <c r="B25" s="433"/>
      <c r="C25" s="430">
        <v>20000000</v>
      </c>
      <c r="D25" s="452">
        <v>13906540</v>
      </c>
      <c r="E25" s="1240">
        <v>-977748</v>
      </c>
      <c r="F25" s="1238">
        <v>1276111</v>
      </c>
      <c r="G25" s="1685">
        <f t="shared" si="0"/>
        <v>-6093460</v>
      </c>
    </row>
    <row r="26" spans="1:7" ht="15" customHeight="1">
      <c r="A26" s="1236" t="s">
        <v>934</v>
      </c>
      <c r="B26" s="433"/>
      <c r="C26" s="430">
        <v>10300000</v>
      </c>
      <c r="D26" s="452">
        <f>15300000-5000000</f>
        <v>10300000</v>
      </c>
      <c r="E26" s="1237">
        <v>926174</v>
      </c>
      <c r="F26" s="1238">
        <v>3316412</v>
      </c>
      <c r="G26" s="1685">
        <f t="shared" si="0"/>
        <v>0</v>
      </c>
    </row>
    <row r="27" spans="1:7" ht="15" customHeight="1">
      <c r="A27" s="1236" t="s">
        <v>935</v>
      </c>
      <c r="B27" s="433"/>
      <c r="C27" s="430">
        <v>4000000</v>
      </c>
      <c r="D27" s="452">
        <v>0</v>
      </c>
      <c r="E27" s="1237"/>
      <c r="F27" s="1238">
        <f>SUM(D27:E27)</f>
        <v>0</v>
      </c>
      <c r="G27" s="1685">
        <f t="shared" si="0"/>
        <v>-4000000</v>
      </c>
    </row>
    <row r="28" spans="1:7" ht="48.75" customHeight="1">
      <c r="A28" s="1242" t="s">
        <v>936</v>
      </c>
      <c r="B28" s="433"/>
      <c r="C28" s="430"/>
      <c r="D28" s="452"/>
      <c r="E28" s="1237"/>
      <c r="F28" s="1238">
        <v>8890000</v>
      </c>
      <c r="G28" s="1685"/>
    </row>
    <row r="29" spans="1:7" ht="60.75" customHeight="1">
      <c r="A29" s="1242" t="s">
        <v>937</v>
      </c>
      <c r="B29" s="433"/>
      <c r="C29" s="430"/>
      <c r="D29" s="452"/>
      <c r="E29" s="1237"/>
      <c r="F29" s="1238">
        <v>50000</v>
      </c>
      <c r="G29" s="1685"/>
    </row>
    <row r="30" spans="1:7" ht="46.5" customHeight="1">
      <c r="A30" s="1242" t="s">
        <v>938</v>
      </c>
      <c r="B30" s="433"/>
      <c r="C30" s="430"/>
      <c r="D30" s="452"/>
      <c r="E30" s="1237"/>
      <c r="F30" s="1238">
        <v>0</v>
      </c>
      <c r="G30" s="1685"/>
    </row>
    <row r="31" spans="1:7" ht="31.5" customHeight="1">
      <c r="A31" s="1242" t="s">
        <v>939</v>
      </c>
      <c r="B31" s="433"/>
      <c r="C31" s="430"/>
      <c r="D31" s="452"/>
      <c r="E31" s="1237"/>
      <c r="F31" s="1238">
        <v>12000000</v>
      </c>
      <c r="G31" s="1685"/>
    </row>
    <row r="32" spans="1:7" ht="47.25" customHeight="1">
      <c r="A32" s="1242" t="s">
        <v>940</v>
      </c>
      <c r="B32" s="433"/>
      <c r="C32" s="430"/>
      <c r="D32" s="452"/>
      <c r="E32" s="1237"/>
      <c r="F32" s="1238">
        <v>5000000</v>
      </c>
      <c r="G32" s="1685"/>
    </row>
    <row r="33" spans="1:7" ht="47.25" customHeight="1">
      <c r="A33" s="1242" t="s">
        <v>941</v>
      </c>
      <c r="B33" s="433"/>
      <c r="C33" s="430"/>
      <c r="D33" s="452"/>
      <c r="E33" s="1237"/>
      <c r="F33" s="1238">
        <v>2500000</v>
      </c>
      <c r="G33" s="1685"/>
    </row>
    <row r="34" spans="1:7" ht="33" customHeight="1">
      <c r="A34" s="1242" t="s">
        <v>942</v>
      </c>
      <c r="B34" s="433"/>
      <c r="C34" s="430"/>
      <c r="D34" s="452"/>
      <c r="E34" s="1237"/>
      <c r="F34" s="1238">
        <v>500000</v>
      </c>
      <c r="G34" s="1685"/>
    </row>
    <row r="35" spans="1:7" ht="48.75" hidden="1" customHeight="1">
      <c r="A35" s="1243" t="s">
        <v>943</v>
      </c>
      <c r="B35" s="433"/>
      <c r="C35" s="430"/>
      <c r="D35" s="452">
        <v>0</v>
      </c>
      <c r="E35" s="1237">
        <v>4456412</v>
      </c>
      <c r="F35" s="293">
        <v>0</v>
      </c>
      <c r="G35" s="1685"/>
    </row>
    <row r="36" spans="1:7" ht="31.5" hidden="1" customHeight="1">
      <c r="A36" s="1243" t="s">
        <v>944</v>
      </c>
      <c r="B36" s="433"/>
      <c r="C36" s="430"/>
      <c r="D36" s="452">
        <v>0</v>
      </c>
      <c r="E36" s="1237">
        <v>9073826</v>
      </c>
      <c r="F36" s="1238">
        <v>0</v>
      </c>
      <c r="G36" s="1685"/>
    </row>
    <row r="37" spans="1:7" ht="15" customHeight="1">
      <c r="A37" s="1236" t="s">
        <v>945</v>
      </c>
      <c r="B37" s="433"/>
      <c r="C37" s="430">
        <v>1000000</v>
      </c>
      <c r="D37" s="451">
        <v>1000000</v>
      </c>
      <c r="E37" s="1237"/>
      <c r="F37" s="1238">
        <v>112384</v>
      </c>
      <c r="G37" s="1685">
        <f t="shared" ref="G37:G70" si="1">D37-C37</f>
        <v>0</v>
      </c>
    </row>
    <row r="38" spans="1:7" ht="15" customHeight="1">
      <c r="A38" s="1239" t="s">
        <v>946</v>
      </c>
      <c r="B38" s="433"/>
      <c r="C38" s="445">
        <v>18770000</v>
      </c>
      <c r="D38" s="452">
        <v>18770000</v>
      </c>
      <c r="E38" s="1237">
        <v>-13046046</v>
      </c>
      <c r="F38" s="1238">
        <v>4586234</v>
      </c>
      <c r="G38" s="1685">
        <f t="shared" si="1"/>
        <v>0</v>
      </c>
    </row>
    <row r="39" spans="1:7" ht="15" customHeight="1">
      <c r="A39" s="1236" t="s">
        <v>947</v>
      </c>
      <c r="B39" s="433"/>
      <c r="C39" s="445"/>
      <c r="D39" s="452">
        <v>26860500</v>
      </c>
      <c r="E39" s="1237"/>
      <c r="F39" s="1238">
        <f>SUM(D39:E39)</f>
        <v>26860500</v>
      </c>
      <c r="G39" s="1685">
        <f t="shared" si="1"/>
        <v>26860500</v>
      </c>
    </row>
    <row r="40" spans="1:7" ht="15" customHeight="1">
      <c r="A40" s="1236" t="s">
        <v>948</v>
      </c>
      <c r="B40" s="433"/>
      <c r="C40" s="445"/>
      <c r="D40" s="452">
        <v>35000000</v>
      </c>
      <c r="E40" s="1237"/>
      <c r="F40" s="1238">
        <v>13220017</v>
      </c>
      <c r="G40" s="1685">
        <f t="shared" si="1"/>
        <v>35000000</v>
      </c>
    </row>
    <row r="41" spans="1:7" ht="15" customHeight="1">
      <c r="A41" s="1236" t="s">
        <v>949</v>
      </c>
      <c r="B41" s="433"/>
      <c r="C41" s="445"/>
      <c r="D41" s="452">
        <v>720778556</v>
      </c>
      <c r="E41" s="1237">
        <v>218752148</v>
      </c>
      <c r="F41" s="1238">
        <v>1119525656</v>
      </c>
      <c r="G41" s="1685">
        <f t="shared" si="1"/>
        <v>720778556</v>
      </c>
    </row>
    <row r="42" spans="1:7" ht="15" hidden="1" customHeight="1">
      <c r="A42" s="1236"/>
      <c r="B42" s="433"/>
      <c r="C42" s="445"/>
      <c r="D42" s="452">
        <v>0</v>
      </c>
      <c r="E42" s="1237"/>
      <c r="F42" s="1238">
        <f t="shared" ref="F42:F70" si="2">SUM(D42:E42)</f>
        <v>0</v>
      </c>
      <c r="G42" s="1685">
        <f t="shared" si="1"/>
        <v>0</v>
      </c>
    </row>
    <row r="43" spans="1:7" ht="15" hidden="1" customHeight="1">
      <c r="A43" s="1236"/>
      <c r="B43" s="433"/>
      <c r="C43" s="445"/>
      <c r="D43" s="451">
        <v>0</v>
      </c>
      <c r="E43" s="1237"/>
      <c r="F43" s="1238">
        <f t="shared" si="2"/>
        <v>0</v>
      </c>
      <c r="G43" s="1685">
        <f t="shared" si="1"/>
        <v>0</v>
      </c>
    </row>
    <row r="44" spans="1:7" ht="15" hidden="1" customHeight="1">
      <c r="A44" s="1239"/>
      <c r="B44" s="297"/>
      <c r="C44" s="415"/>
      <c r="D44" s="451">
        <v>0</v>
      </c>
      <c r="E44" s="1244"/>
      <c r="F44" s="1238">
        <f t="shared" si="2"/>
        <v>0</v>
      </c>
      <c r="G44" s="1685">
        <f t="shared" si="1"/>
        <v>0</v>
      </c>
    </row>
    <row r="45" spans="1:7" ht="15" hidden="1" customHeight="1">
      <c r="A45" s="1236"/>
      <c r="B45" s="433"/>
      <c r="C45" s="445"/>
      <c r="D45" s="451">
        <v>0</v>
      </c>
      <c r="E45" s="1237"/>
      <c r="F45" s="1238">
        <f t="shared" si="2"/>
        <v>0</v>
      </c>
      <c r="G45" s="1685">
        <f t="shared" si="1"/>
        <v>0</v>
      </c>
    </row>
    <row r="46" spans="1:7" ht="15" hidden="1" customHeight="1">
      <c r="A46" s="1236"/>
      <c r="B46" s="433"/>
      <c r="C46" s="445"/>
      <c r="D46" s="451">
        <v>0</v>
      </c>
      <c r="E46" s="1237"/>
      <c r="F46" s="1238">
        <f t="shared" si="2"/>
        <v>0</v>
      </c>
      <c r="G46" s="1685">
        <f t="shared" si="1"/>
        <v>0</v>
      </c>
    </row>
    <row r="47" spans="1:7" ht="15" hidden="1" customHeight="1">
      <c r="A47" s="1236"/>
      <c r="B47" s="433"/>
      <c r="C47" s="445"/>
      <c r="D47" s="451">
        <v>0</v>
      </c>
      <c r="E47" s="1237"/>
      <c r="F47" s="1238">
        <f t="shared" si="2"/>
        <v>0</v>
      </c>
      <c r="G47" s="1685">
        <f t="shared" si="1"/>
        <v>0</v>
      </c>
    </row>
    <row r="48" spans="1:7" ht="15" hidden="1" customHeight="1">
      <c r="A48" s="1236"/>
      <c r="B48" s="433"/>
      <c r="C48" s="445"/>
      <c r="D48" s="451">
        <v>0</v>
      </c>
      <c r="E48" s="1237"/>
      <c r="F48" s="1238">
        <f t="shared" si="2"/>
        <v>0</v>
      </c>
      <c r="G48" s="1685">
        <f t="shared" si="1"/>
        <v>0</v>
      </c>
    </row>
    <row r="49" spans="1:7" ht="15" hidden="1" customHeight="1">
      <c r="A49" s="1236"/>
      <c r="B49" s="433"/>
      <c r="C49" s="445"/>
      <c r="D49" s="451">
        <v>0</v>
      </c>
      <c r="E49" s="1237"/>
      <c r="F49" s="1238">
        <f t="shared" si="2"/>
        <v>0</v>
      </c>
      <c r="G49" s="1685">
        <f t="shared" si="1"/>
        <v>0</v>
      </c>
    </row>
    <row r="50" spans="1:7" ht="14.25" hidden="1" customHeight="1">
      <c r="A50" s="1236"/>
      <c r="B50" s="433"/>
      <c r="C50" s="445"/>
      <c r="D50" s="451">
        <v>0</v>
      </c>
      <c r="E50" s="1237"/>
      <c r="F50" s="1238">
        <f t="shared" si="2"/>
        <v>0</v>
      </c>
      <c r="G50" s="1685">
        <f t="shared" si="1"/>
        <v>0</v>
      </c>
    </row>
    <row r="51" spans="1:7" ht="15" hidden="1" customHeight="1">
      <c r="A51" s="1236"/>
      <c r="B51" s="433"/>
      <c r="C51" s="445"/>
      <c r="D51" s="451">
        <v>0</v>
      </c>
      <c r="E51" s="1237"/>
      <c r="F51" s="1238">
        <f t="shared" si="2"/>
        <v>0</v>
      </c>
      <c r="G51" s="1685">
        <f t="shared" si="1"/>
        <v>0</v>
      </c>
    </row>
    <row r="52" spans="1:7" ht="15" hidden="1" customHeight="1">
      <c r="A52" s="1236"/>
      <c r="B52" s="433"/>
      <c r="C52" s="445"/>
      <c r="D52" s="451">
        <v>0</v>
      </c>
      <c r="E52" s="1237"/>
      <c r="F52" s="1238">
        <f t="shared" si="2"/>
        <v>0</v>
      </c>
      <c r="G52" s="1685">
        <f t="shared" si="1"/>
        <v>0</v>
      </c>
    </row>
    <row r="53" spans="1:7" ht="15" hidden="1" customHeight="1">
      <c r="A53" s="1236"/>
      <c r="B53" s="433"/>
      <c r="C53" s="445"/>
      <c r="D53" s="451">
        <v>0</v>
      </c>
      <c r="E53" s="1237"/>
      <c r="F53" s="1238">
        <f t="shared" si="2"/>
        <v>0</v>
      </c>
      <c r="G53" s="1685">
        <f t="shared" si="1"/>
        <v>0</v>
      </c>
    </row>
    <row r="54" spans="1:7" ht="15" hidden="1" customHeight="1">
      <c r="A54" s="1239"/>
      <c r="B54" s="297"/>
      <c r="C54" s="415"/>
      <c r="D54" s="451">
        <v>0</v>
      </c>
      <c r="E54" s="1237"/>
      <c r="F54" s="1238">
        <f t="shared" si="2"/>
        <v>0</v>
      </c>
      <c r="G54" s="1685">
        <f t="shared" si="1"/>
        <v>0</v>
      </c>
    </row>
    <row r="55" spans="1:7" ht="15" hidden="1" customHeight="1">
      <c r="A55" s="1239"/>
      <c r="B55" s="297"/>
      <c r="C55" s="415"/>
      <c r="D55" s="451">
        <v>0</v>
      </c>
      <c r="E55" s="1237"/>
      <c r="F55" s="1238">
        <f t="shared" si="2"/>
        <v>0</v>
      </c>
      <c r="G55" s="1685">
        <f t="shared" si="1"/>
        <v>0</v>
      </c>
    </row>
    <row r="56" spans="1:7" ht="15" hidden="1" customHeight="1">
      <c r="A56" s="1239"/>
      <c r="B56" s="297"/>
      <c r="C56" s="415"/>
      <c r="D56" s="451">
        <v>0</v>
      </c>
      <c r="E56" s="1237"/>
      <c r="F56" s="1238">
        <f t="shared" si="2"/>
        <v>0</v>
      </c>
      <c r="G56" s="1685">
        <f t="shared" si="1"/>
        <v>0</v>
      </c>
    </row>
    <row r="57" spans="1:7" ht="15" hidden="1" customHeight="1">
      <c r="A57" s="1239"/>
      <c r="D57" s="451">
        <v>0</v>
      </c>
      <c r="E57" s="1244"/>
      <c r="F57" s="1238">
        <f t="shared" si="2"/>
        <v>0</v>
      </c>
      <c r="G57" s="1685">
        <f t="shared" si="1"/>
        <v>0</v>
      </c>
    </row>
    <row r="58" spans="1:7" ht="15" hidden="1" customHeight="1">
      <c r="A58" s="1239"/>
      <c r="B58" s="297"/>
      <c r="C58" s="415"/>
      <c r="D58" s="451">
        <v>0</v>
      </c>
      <c r="E58" s="1237"/>
      <c r="F58" s="1238">
        <f t="shared" si="2"/>
        <v>0</v>
      </c>
      <c r="G58" s="1685">
        <f t="shared" si="1"/>
        <v>0</v>
      </c>
    </row>
    <row r="59" spans="1:7" ht="15" hidden="1" customHeight="1">
      <c r="A59" s="1239"/>
      <c r="B59" s="297"/>
      <c r="C59" s="415"/>
      <c r="D59" s="451">
        <v>0</v>
      </c>
      <c r="E59" s="1244"/>
      <c r="F59" s="1238">
        <f t="shared" si="2"/>
        <v>0</v>
      </c>
      <c r="G59" s="1685">
        <f t="shared" si="1"/>
        <v>0</v>
      </c>
    </row>
    <row r="60" spans="1:7" ht="15" hidden="1" customHeight="1">
      <c r="A60" s="1239"/>
      <c r="B60" s="297"/>
      <c r="C60" s="415"/>
      <c r="D60" s="451">
        <v>0</v>
      </c>
      <c r="E60" s="1244"/>
      <c r="F60" s="1238">
        <f t="shared" si="2"/>
        <v>0</v>
      </c>
      <c r="G60" s="1685">
        <f t="shared" si="1"/>
        <v>0</v>
      </c>
    </row>
    <row r="61" spans="1:7" ht="15" hidden="1" customHeight="1">
      <c r="A61" s="1239"/>
      <c r="B61" s="297"/>
      <c r="C61" s="415"/>
      <c r="D61" s="451">
        <v>0</v>
      </c>
      <c r="E61" s="1244"/>
      <c r="F61" s="1238">
        <f t="shared" si="2"/>
        <v>0</v>
      </c>
      <c r="G61" s="1685">
        <f t="shared" si="1"/>
        <v>0</v>
      </c>
    </row>
    <row r="62" spans="1:7" ht="15" hidden="1" customHeight="1">
      <c r="A62" s="1239"/>
      <c r="B62" s="297"/>
      <c r="C62" s="415"/>
      <c r="D62" s="451">
        <v>0</v>
      </c>
      <c r="E62" s="1244"/>
      <c r="F62" s="1238">
        <f t="shared" si="2"/>
        <v>0</v>
      </c>
      <c r="G62" s="1685">
        <f t="shared" si="1"/>
        <v>0</v>
      </c>
    </row>
    <row r="63" spans="1:7" ht="15" hidden="1" customHeight="1">
      <c r="A63" s="1239"/>
      <c r="B63" s="297"/>
      <c r="C63" s="415"/>
      <c r="D63" s="451">
        <v>0</v>
      </c>
      <c r="E63" s="1244"/>
      <c r="F63" s="1238">
        <f t="shared" si="2"/>
        <v>0</v>
      </c>
      <c r="G63" s="1685">
        <f t="shared" si="1"/>
        <v>0</v>
      </c>
    </row>
    <row r="64" spans="1:7" ht="15" hidden="1" customHeight="1">
      <c r="A64" s="1239"/>
      <c r="B64" s="297"/>
      <c r="C64" s="415"/>
      <c r="D64" s="451">
        <v>0</v>
      </c>
      <c r="E64" s="1244"/>
      <c r="F64" s="1238">
        <f t="shared" si="2"/>
        <v>0</v>
      </c>
      <c r="G64" s="1685">
        <f t="shared" si="1"/>
        <v>0</v>
      </c>
    </row>
    <row r="65" spans="1:7" ht="15" hidden="1" customHeight="1">
      <c r="A65" s="1239"/>
      <c r="D65" s="451">
        <v>0</v>
      </c>
      <c r="E65" s="1244"/>
      <c r="F65" s="1238">
        <f t="shared" si="2"/>
        <v>0</v>
      </c>
      <c r="G65" s="1685">
        <f t="shared" si="1"/>
        <v>0</v>
      </c>
    </row>
    <row r="66" spans="1:7" ht="14.25" hidden="1" customHeight="1">
      <c r="A66" s="1236"/>
      <c r="B66" s="303"/>
      <c r="C66" s="1137"/>
      <c r="D66" s="451">
        <v>0</v>
      </c>
      <c r="E66" s="1237"/>
      <c r="F66" s="1238">
        <f t="shared" si="2"/>
        <v>0</v>
      </c>
      <c r="G66" s="1685">
        <f t="shared" si="1"/>
        <v>0</v>
      </c>
    </row>
    <row r="67" spans="1:7" ht="15" hidden="1" customHeight="1">
      <c r="A67" s="1239"/>
      <c r="D67" s="451">
        <v>0</v>
      </c>
      <c r="E67" s="1244"/>
      <c r="F67" s="1238">
        <f t="shared" si="2"/>
        <v>0</v>
      </c>
      <c r="G67" s="1685">
        <f t="shared" si="1"/>
        <v>0</v>
      </c>
    </row>
    <row r="68" spans="1:7" ht="15" hidden="1" customHeight="1">
      <c r="A68" s="1239"/>
      <c r="D68" s="451">
        <v>0</v>
      </c>
      <c r="E68" s="1244"/>
      <c r="F68" s="1238">
        <f t="shared" si="2"/>
        <v>0</v>
      </c>
      <c r="G68" s="1685">
        <f t="shared" si="1"/>
        <v>0</v>
      </c>
    </row>
    <row r="69" spans="1:7" ht="15" hidden="1" customHeight="1">
      <c r="A69" s="1239"/>
      <c r="D69" s="451">
        <v>0</v>
      </c>
      <c r="E69" s="1244"/>
      <c r="F69" s="1238">
        <f t="shared" si="2"/>
        <v>0</v>
      </c>
      <c r="G69" s="1685">
        <f t="shared" si="1"/>
        <v>0</v>
      </c>
    </row>
    <row r="70" spans="1:7" ht="15" hidden="1" customHeight="1">
      <c r="A70" s="1239"/>
      <c r="D70" s="451"/>
      <c r="E70" s="1237"/>
      <c r="F70" s="1238">
        <f t="shared" si="2"/>
        <v>0</v>
      </c>
      <c r="G70" s="1685">
        <f t="shared" si="1"/>
        <v>0</v>
      </c>
    </row>
    <row r="71" spans="1:7" ht="15" customHeight="1">
      <c r="A71" s="1239"/>
      <c r="D71" s="451"/>
      <c r="E71" s="1245"/>
      <c r="F71" s="1238"/>
      <c r="G71" s="1685"/>
    </row>
    <row r="72" spans="1:7" ht="15.95" customHeight="1">
      <c r="A72" s="1246" t="s">
        <v>950</v>
      </c>
      <c r="B72" s="1239"/>
      <c r="C72" s="830">
        <f>SUM(C7:C71)</f>
        <v>246090000</v>
      </c>
      <c r="D72" s="830">
        <f>SUM(D7:D71)</f>
        <v>1064615305</v>
      </c>
      <c r="E72" s="830">
        <f>SUM(E7:E71)</f>
        <v>155399562</v>
      </c>
      <c r="F72" s="830">
        <f>SUM(F7:F71)</f>
        <v>1278172723</v>
      </c>
      <c r="G72" s="1686">
        <f>SUM(G7:G71)</f>
        <v>818525305</v>
      </c>
    </row>
    <row r="73" spans="1:7" ht="12" customHeight="1">
      <c r="A73" s="1247"/>
      <c r="B73" s="1239"/>
      <c r="C73" s="1248"/>
      <c r="D73" s="1157"/>
      <c r="E73" s="1157"/>
      <c r="F73" s="1249"/>
      <c r="G73" s="1687"/>
    </row>
    <row r="74" spans="1:7" ht="15.95" customHeight="1">
      <c r="A74" s="326" t="s">
        <v>951</v>
      </c>
      <c r="B74" s="1239"/>
      <c r="C74" s="1248"/>
      <c r="D74" s="1157"/>
      <c r="E74" s="1157"/>
      <c r="F74" s="1249"/>
      <c r="G74" s="1687"/>
    </row>
    <row r="75" spans="1:7" ht="10.5" hidden="1" customHeight="1">
      <c r="A75" s="326"/>
      <c r="B75" s="1239"/>
      <c r="C75" s="1248"/>
      <c r="D75" s="1157"/>
      <c r="E75" s="1157"/>
      <c r="F75" s="1249"/>
      <c r="G75" s="1687"/>
    </row>
    <row r="76" spans="1:7" ht="34.5" customHeight="1">
      <c r="A76" s="1236" t="s">
        <v>952</v>
      </c>
      <c r="B76" s="1239"/>
      <c r="C76" s="451">
        <v>35000000</v>
      </c>
      <c r="D76" s="451">
        <v>35000000</v>
      </c>
      <c r="E76" s="1250"/>
      <c r="F76" s="1238">
        <v>0</v>
      </c>
      <c r="G76" s="1685">
        <f t="shared" ref="G76:G94" si="3">D76-C76</f>
        <v>0</v>
      </c>
    </row>
    <row r="77" spans="1:7" ht="15" customHeight="1">
      <c r="A77" s="1236" t="s">
        <v>953</v>
      </c>
      <c r="B77" s="1239"/>
      <c r="C77" s="451">
        <v>1000000</v>
      </c>
      <c r="D77" s="451">
        <v>1000000</v>
      </c>
      <c r="E77" s="1251"/>
      <c r="F77" s="1238">
        <f t="shared" ref="F77:F94" si="4">SUM(D77:E77)</f>
        <v>1000000</v>
      </c>
      <c r="G77" s="1685">
        <f t="shared" si="3"/>
        <v>0</v>
      </c>
    </row>
    <row r="78" spans="1:7" ht="15" hidden="1" customHeight="1">
      <c r="A78" s="1236" t="s">
        <v>954</v>
      </c>
      <c r="B78" s="1239"/>
      <c r="C78" s="451">
        <v>0</v>
      </c>
      <c r="D78" s="451"/>
      <c r="E78" s="1250"/>
      <c r="F78" s="1238">
        <f t="shared" si="4"/>
        <v>0</v>
      </c>
      <c r="G78" s="1685">
        <f t="shared" si="3"/>
        <v>0</v>
      </c>
    </row>
    <row r="79" spans="1:7" ht="15" hidden="1" customHeight="1">
      <c r="A79" s="1236"/>
      <c r="B79" s="1239"/>
      <c r="C79" s="451"/>
      <c r="D79" s="451"/>
      <c r="E79" s="1250"/>
      <c r="F79" s="1238">
        <f t="shared" si="4"/>
        <v>0</v>
      </c>
      <c r="G79" s="1685">
        <f t="shared" si="3"/>
        <v>0</v>
      </c>
    </row>
    <row r="80" spans="1:7" ht="15" hidden="1" customHeight="1">
      <c r="A80" s="1236"/>
      <c r="B80" s="1239"/>
      <c r="C80" s="1248"/>
      <c r="D80" s="451"/>
      <c r="E80" s="1250"/>
      <c r="F80" s="1238">
        <f t="shared" si="4"/>
        <v>0</v>
      </c>
      <c r="G80" s="1685">
        <f t="shared" si="3"/>
        <v>0</v>
      </c>
    </row>
    <row r="81" spans="1:7" ht="15" hidden="1" customHeight="1">
      <c r="A81" s="1236"/>
      <c r="B81" s="1239"/>
      <c r="C81" s="1248"/>
      <c r="D81" s="451"/>
      <c r="E81" s="1250"/>
      <c r="F81" s="1238">
        <f t="shared" si="4"/>
        <v>0</v>
      </c>
      <c r="G81" s="1685">
        <f t="shared" si="3"/>
        <v>0</v>
      </c>
    </row>
    <row r="82" spans="1:7" ht="15.75" hidden="1" customHeight="1">
      <c r="A82" s="1236"/>
      <c r="B82" s="1239"/>
      <c r="C82" s="1248"/>
      <c r="D82" s="451"/>
      <c r="E82" s="1251"/>
      <c r="F82" s="1238">
        <f t="shared" si="4"/>
        <v>0</v>
      </c>
      <c r="G82" s="1685">
        <f t="shared" si="3"/>
        <v>0</v>
      </c>
    </row>
    <row r="83" spans="1:7" ht="15" hidden="1" customHeight="1">
      <c r="A83" s="347"/>
      <c r="B83" s="1239"/>
      <c r="C83" s="1248"/>
      <c r="D83" s="451"/>
      <c r="E83" s="1252"/>
      <c r="F83" s="1238">
        <f t="shared" si="4"/>
        <v>0</v>
      </c>
      <c r="G83" s="1685">
        <f t="shared" si="3"/>
        <v>0</v>
      </c>
    </row>
    <row r="84" spans="1:7" ht="15" hidden="1" customHeight="1">
      <c r="A84" s="1236"/>
      <c r="B84" s="1239"/>
      <c r="C84" s="1248"/>
      <c r="D84" s="451"/>
      <c r="E84" s="1251"/>
      <c r="F84" s="1238">
        <f t="shared" si="4"/>
        <v>0</v>
      </c>
      <c r="G84" s="1685">
        <f t="shared" si="3"/>
        <v>0</v>
      </c>
    </row>
    <row r="85" spans="1:7" ht="15" hidden="1" customHeight="1">
      <c r="A85" s="1236"/>
      <c r="B85" s="1239"/>
      <c r="C85" s="1248"/>
      <c r="D85" s="451"/>
      <c r="E85" s="1251"/>
      <c r="F85" s="1238">
        <f t="shared" si="4"/>
        <v>0</v>
      </c>
      <c r="G85" s="1685">
        <f t="shared" si="3"/>
        <v>0</v>
      </c>
    </row>
    <row r="86" spans="1:7" ht="29.25" hidden="1" customHeight="1">
      <c r="A86" s="1236"/>
      <c r="B86" s="1239"/>
      <c r="C86" s="1248"/>
      <c r="D86" s="451"/>
      <c r="E86" s="1251"/>
      <c r="F86" s="1238">
        <f t="shared" si="4"/>
        <v>0</v>
      </c>
      <c r="G86" s="1685">
        <f t="shared" si="3"/>
        <v>0</v>
      </c>
    </row>
    <row r="87" spans="1:7" ht="15" hidden="1" customHeight="1">
      <c r="A87" s="347"/>
      <c r="B87" s="1239"/>
      <c r="C87" s="1248"/>
      <c r="D87" s="451"/>
      <c r="E87" s="1251"/>
      <c r="F87" s="1238">
        <f t="shared" si="4"/>
        <v>0</v>
      </c>
      <c r="G87" s="1685">
        <f t="shared" si="3"/>
        <v>0</v>
      </c>
    </row>
    <row r="88" spans="1:7" ht="15" hidden="1" customHeight="1">
      <c r="A88" s="1236"/>
      <c r="B88" s="1239"/>
      <c r="C88" s="1248"/>
      <c r="D88" s="451"/>
      <c r="E88" s="1251"/>
      <c r="F88" s="1238">
        <f t="shared" si="4"/>
        <v>0</v>
      </c>
      <c r="G88" s="1685">
        <f t="shared" si="3"/>
        <v>0</v>
      </c>
    </row>
    <row r="89" spans="1:7" ht="15" hidden="1" customHeight="1">
      <c r="A89" s="1236"/>
      <c r="B89" s="1239"/>
      <c r="C89" s="1248"/>
      <c r="D89" s="451"/>
      <c r="E89" s="1251"/>
      <c r="F89" s="1238">
        <f t="shared" si="4"/>
        <v>0</v>
      </c>
      <c r="G89" s="1685">
        <f t="shared" si="3"/>
        <v>0</v>
      </c>
    </row>
    <row r="90" spans="1:7" ht="15" hidden="1" customHeight="1">
      <c r="A90" s="1236"/>
      <c r="B90" s="1239"/>
      <c r="C90" s="1248"/>
      <c r="D90" s="451"/>
      <c r="E90" s="1250"/>
      <c r="F90" s="1238">
        <f t="shared" si="4"/>
        <v>0</v>
      </c>
      <c r="G90" s="1685">
        <f t="shared" si="3"/>
        <v>0</v>
      </c>
    </row>
    <row r="91" spans="1:7" ht="15" hidden="1" customHeight="1">
      <c r="A91" s="1236"/>
      <c r="B91" s="1239"/>
      <c r="C91" s="1248"/>
      <c r="D91" s="451"/>
      <c r="E91" s="1250"/>
      <c r="F91" s="1238">
        <f t="shared" si="4"/>
        <v>0</v>
      </c>
      <c r="G91" s="1685">
        <f t="shared" si="3"/>
        <v>0</v>
      </c>
    </row>
    <row r="92" spans="1:7" ht="17.25" hidden="1" customHeight="1">
      <c r="A92" s="1236"/>
      <c r="B92" s="1239"/>
      <c r="C92" s="1248"/>
      <c r="D92" s="451"/>
      <c r="E92" s="1250"/>
      <c r="F92" s="1238">
        <f t="shared" si="4"/>
        <v>0</v>
      </c>
      <c r="G92" s="1685">
        <f t="shared" si="3"/>
        <v>0</v>
      </c>
    </row>
    <row r="93" spans="1:7" ht="15" hidden="1" customHeight="1">
      <c r="A93" s="1236"/>
      <c r="B93" s="1239"/>
      <c r="C93" s="1248"/>
      <c r="D93" s="451"/>
      <c r="E93" s="1250"/>
      <c r="F93" s="1238">
        <f t="shared" si="4"/>
        <v>0</v>
      </c>
      <c r="G93" s="1685">
        <f t="shared" si="3"/>
        <v>0</v>
      </c>
    </row>
    <row r="94" spans="1:7" ht="27" hidden="1" customHeight="1">
      <c r="A94" s="1236"/>
      <c r="B94" s="1239"/>
      <c r="C94" s="1248"/>
      <c r="D94" s="451"/>
      <c r="E94" s="1251"/>
      <c r="F94" s="1238">
        <f t="shared" si="4"/>
        <v>0</v>
      </c>
      <c r="G94" s="1685">
        <f t="shared" si="3"/>
        <v>0</v>
      </c>
    </row>
    <row r="95" spans="1:7" ht="9.75" customHeight="1">
      <c r="D95" s="451"/>
      <c r="G95" s="1685"/>
    </row>
    <row r="96" spans="1:7" ht="15.75" customHeight="1">
      <c r="A96" s="1253" t="s">
        <v>955</v>
      </c>
      <c r="C96" s="830">
        <f>SUM(C76:C95)</f>
        <v>36000000</v>
      </c>
      <c r="D96" s="830">
        <f>SUM(D76:D95)</f>
        <v>36000000</v>
      </c>
      <c r="E96" s="830">
        <f>SUM(E76:E95)</f>
        <v>0</v>
      </c>
      <c r="F96" s="830">
        <f>SUM(F76:F95)</f>
        <v>1000000</v>
      </c>
      <c r="G96" s="1686">
        <f>SUM(G76:G95)</f>
        <v>0</v>
      </c>
    </row>
    <row r="97" spans="1:7" ht="11.25" customHeight="1">
      <c r="C97" s="451"/>
      <c r="D97" s="451"/>
      <c r="E97" s="451"/>
      <c r="F97" s="451"/>
      <c r="G97" s="1685"/>
    </row>
    <row r="98" spans="1:7" ht="20.25" customHeight="1">
      <c r="A98" s="832" t="s">
        <v>956</v>
      </c>
      <c r="C98" s="395">
        <f>SUM(C7:C96)/2</f>
        <v>282090000</v>
      </c>
      <c r="D98" s="395">
        <f>SUM(D7:D96)/2</f>
        <v>1100615305</v>
      </c>
      <c r="E98" s="395">
        <f>SUM(E7:E96)/2</f>
        <v>155399562</v>
      </c>
      <c r="F98" s="395">
        <f>SUM(F7:F96)/2</f>
        <v>1279172723</v>
      </c>
      <c r="G98" s="1688">
        <f>SUM(G7:G96)/2</f>
        <v>818525305</v>
      </c>
    </row>
    <row r="99" spans="1:7">
      <c r="D99" s="451"/>
    </row>
    <row r="100" spans="1:7">
      <c r="D100" s="451"/>
    </row>
    <row r="101" spans="1:7">
      <c r="D101" s="451"/>
    </row>
    <row r="102" spans="1:7">
      <c r="D102" s="451"/>
    </row>
    <row r="103" spans="1:7">
      <c r="D103" s="451"/>
    </row>
    <row r="104" spans="1:7">
      <c r="D104" s="451"/>
    </row>
    <row r="105" spans="1:7">
      <c r="D105" s="451"/>
    </row>
    <row r="106" spans="1:7">
      <c r="D106" s="451"/>
    </row>
    <row r="107" spans="1:7">
      <c r="D107" s="451"/>
    </row>
    <row r="108" spans="1:7">
      <c r="D108" s="451"/>
    </row>
  </sheetData>
  <sheetProtection selectLockedCells="1" selectUnlockedCells="1"/>
  <mergeCells count="2">
    <mergeCell ref="A1:F1"/>
    <mergeCell ref="A3:B3"/>
  </mergeCells>
  <printOptions horizontalCentered="1"/>
  <pageMargins left="0.55118110236220474" right="0.31496062992125984" top="0.59055118110236227" bottom="0.51181102362204722" header="0.23622047244094491" footer="0.23622047244094491"/>
  <pageSetup paperSize="9" scale="76" firstPageNumber="0" orientation="portrait" horizontalDpi="300" verticalDpi="300" r:id="rId1"/>
  <headerFooter alignWithMargins="0">
    <oddHeader>&amp;R&amp;8 5.&amp;"Times New Roman,Normál" m. a 2016. évi költségvetésről szóló 5/2016. (II.29.) önkormányzati rendelet végrehajtásáról szóló 11/2017. (V.3.) önkormányzati rendelethez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AR421"/>
  <sheetViews>
    <sheetView view="pageBreakPreview" zoomScaleNormal="75" zoomScaleSheetLayoutView="100" workbookViewId="0">
      <pane xSplit="2" ySplit="5" topLeftCell="C96" activePane="bottomRight" state="frozen"/>
      <selection pane="topRight" activeCell="U1" sqref="U1"/>
      <selection pane="bottomLeft" activeCell="A184" sqref="A184"/>
      <selection pane="bottomRight" activeCell="A2" sqref="A2"/>
    </sheetView>
  </sheetViews>
  <sheetFormatPr defaultRowHeight="12.75"/>
  <cols>
    <col min="1" max="1" width="12.42578125" style="101" customWidth="1"/>
    <col min="2" max="2" width="68.5703125" style="101" customWidth="1"/>
    <col min="3" max="5" width="14.7109375" style="100" customWidth="1"/>
    <col min="6" max="8" width="15" style="100" customWidth="1"/>
    <col min="9" max="10" width="0" style="1254" hidden="1" customWidth="1"/>
    <col min="11" max="14" width="0" style="101" hidden="1" customWidth="1"/>
    <col min="15" max="15" width="0" style="1255" hidden="1" customWidth="1"/>
    <col min="16" max="18" width="0" style="100" hidden="1" customWidth="1"/>
    <col min="19" max="19" width="15.28515625" style="98" customWidth="1"/>
    <col min="20" max="20" width="14.5703125" style="98" customWidth="1"/>
    <col min="21" max="21" width="12.85546875" style="98" customWidth="1"/>
    <col min="22" max="22" width="14.5703125" style="98" customWidth="1"/>
    <col min="23" max="23" width="7.7109375" style="98" customWidth="1"/>
    <col min="24" max="24" width="12.42578125" style="98" customWidth="1"/>
    <col min="25" max="26" width="14.28515625" style="100" customWidth="1"/>
    <col min="27" max="27" width="12.85546875" style="100" customWidth="1"/>
    <col min="28" max="28" width="14.5703125" style="100" customWidth="1"/>
    <col min="29" max="29" width="7.7109375" style="100" customWidth="1"/>
    <col min="30" max="30" width="12.42578125" style="100" customWidth="1"/>
    <col min="31" max="16384" width="9.140625" style="101"/>
  </cols>
  <sheetData>
    <row r="1" spans="1:36" s="1258" customFormat="1" ht="47.25" customHeight="1">
      <c r="A1" s="1773" t="s">
        <v>1349</v>
      </c>
      <c r="B1" s="1773"/>
      <c r="C1" s="1773"/>
      <c r="D1" s="1773"/>
      <c r="E1" s="1773"/>
      <c r="F1" s="1773"/>
      <c r="G1" s="1773"/>
      <c r="H1" s="1773"/>
      <c r="I1" s="1773"/>
      <c r="J1" s="1773"/>
      <c r="K1" s="1773"/>
      <c r="L1" s="1773"/>
      <c r="M1" s="1773"/>
      <c r="N1" s="1773"/>
      <c r="O1" s="1773"/>
      <c r="P1" s="1773"/>
      <c r="Q1" s="1773"/>
      <c r="R1" s="1773"/>
      <c r="S1" s="1773"/>
      <c r="T1" s="1773"/>
      <c r="U1" s="1773"/>
      <c r="V1" s="1773"/>
      <c r="W1" s="1773"/>
      <c r="X1" s="1773"/>
      <c r="Y1" s="1773"/>
      <c r="Z1" s="1773"/>
      <c r="AA1" s="1773"/>
      <c r="AB1" s="1773"/>
      <c r="AC1" s="1773"/>
      <c r="AD1" s="1773"/>
      <c r="AE1" s="1257"/>
      <c r="AF1" s="1257"/>
      <c r="AG1" s="1257"/>
      <c r="AH1" s="1257"/>
      <c r="AI1" s="1257"/>
      <c r="AJ1" s="1257"/>
    </row>
    <row r="2" spans="1:36" s="1258" customFormat="1" ht="13.5" customHeight="1">
      <c r="A2" s="1256"/>
      <c r="B2" s="1259"/>
      <c r="C2" s="1260"/>
      <c r="D2" s="1260"/>
      <c r="E2" s="1260"/>
      <c r="F2" s="1260"/>
      <c r="G2" s="1260"/>
      <c r="H2" s="1260"/>
      <c r="I2" s="1261"/>
      <c r="J2" s="1261"/>
      <c r="K2" s="1261"/>
      <c r="L2" s="1261"/>
      <c r="M2" s="1261"/>
      <c r="N2" s="1261"/>
      <c r="O2" s="1261"/>
      <c r="P2" s="1261"/>
      <c r="Q2" s="1261"/>
      <c r="R2" s="1261"/>
      <c r="S2" s="1262"/>
      <c r="T2" s="1262"/>
      <c r="U2" s="1262"/>
      <c r="V2" s="1262"/>
      <c r="W2" s="1262"/>
      <c r="X2" s="1263"/>
      <c r="Y2" s="1261"/>
      <c r="Z2" s="1261"/>
      <c r="AA2" s="1261"/>
      <c r="AB2" s="1261"/>
      <c r="AC2" s="1261"/>
      <c r="AD2" s="1229" t="s">
        <v>0</v>
      </c>
      <c r="AE2" s="1257"/>
      <c r="AF2" s="1257"/>
      <c r="AG2" s="1257"/>
      <c r="AH2" s="1257"/>
      <c r="AI2" s="1257"/>
      <c r="AJ2" s="1257"/>
    </row>
    <row r="3" spans="1:36" s="293" customFormat="1" ht="18" customHeight="1">
      <c r="A3" s="1705" t="s">
        <v>957</v>
      </c>
      <c r="B3" s="1705"/>
      <c r="C3" s="1774" t="s">
        <v>2</v>
      </c>
      <c r="D3" s="1774"/>
      <c r="E3" s="1774"/>
      <c r="F3" s="1774"/>
      <c r="G3" s="1774"/>
      <c r="H3" s="1774"/>
      <c r="I3" s="1774" t="s">
        <v>958</v>
      </c>
      <c r="J3" s="1774"/>
      <c r="K3" s="1774"/>
      <c r="L3" s="1774"/>
      <c r="M3" s="1774"/>
      <c r="N3" s="1774"/>
      <c r="O3" s="1775" t="s">
        <v>959</v>
      </c>
      <c r="P3" s="1775"/>
      <c r="Q3" s="1775"/>
      <c r="R3" s="1775"/>
      <c r="S3" s="1777" t="s">
        <v>5</v>
      </c>
      <c r="T3" s="1777"/>
      <c r="U3" s="1777"/>
      <c r="V3" s="1777"/>
      <c r="W3" s="1777"/>
      <c r="X3" s="1777"/>
      <c r="Y3" s="1774" t="s">
        <v>960</v>
      </c>
      <c r="Z3" s="1774"/>
      <c r="AA3" s="1774"/>
      <c r="AB3" s="1774"/>
      <c r="AC3" s="1774"/>
      <c r="AD3" s="1774"/>
    </row>
    <row r="4" spans="1:36" s="293" customFormat="1" ht="17.25" customHeight="1">
      <c r="A4" s="1705"/>
      <c r="B4" s="1705"/>
      <c r="C4" s="1774" t="s">
        <v>961</v>
      </c>
      <c r="D4" s="1774"/>
      <c r="E4" s="1774"/>
      <c r="F4" s="1774" t="s">
        <v>962</v>
      </c>
      <c r="G4" s="1774"/>
      <c r="H4" s="1774"/>
      <c r="I4" s="1776" t="s">
        <v>961</v>
      </c>
      <c r="J4" s="1776"/>
      <c r="K4" s="1776"/>
      <c r="L4" s="1774" t="s">
        <v>962</v>
      </c>
      <c r="M4" s="1774"/>
      <c r="N4" s="1774"/>
      <c r="O4" s="1775" t="s">
        <v>962</v>
      </c>
      <c r="P4" s="1775" t="s">
        <v>962</v>
      </c>
      <c r="Q4" s="1775"/>
      <c r="R4" s="1775"/>
      <c r="S4" s="1777" t="s">
        <v>961</v>
      </c>
      <c r="T4" s="1777"/>
      <c r="U4" s="1777"/>
      <c r="V4" s="1777" t="s">
        <v>962</v>
      </c>
      <c r="W4" s="1777"/>
      <c r="X4" s="1777"/>
      <c r="Y4" s="1774" t="s">
        <v>961</v>
      </c>
      <c r="Z4" s="1774"/>
      <c r="AA4" s="1774"/>
      <c r="AB4" s="1774" t="s">
        <v>962</v>
      </c>
      <c r="AC4" s="1774"/>
      <c r="AD4" s="1774"/>
    </row>
    <row r="5" spans="1:36" s="293" customFormat="1" ht="38.25" customHeight="1">
      <c r="A5" s="1705"/>
      <c r="B5" s="1705"/>
      <c r="C5" s="1264" t="s">
        <v>963</v>
      </c>
      <c r="D5" s="1267" t="s">
        <v>964</v>
      </c>
      <c r="E5" s="1268" t="s">
        <v>965</v>
      </c>
      <c r="F5" s="1269" t="s">
        <v>966</v>
      </c>
      <c r="G5" s="1270" t="s">
        <v>967</v>
      </c>
      <c r="H5" s="1271" t="s">
        <v>968</v>
      </c>
      <c r="I5" s="1267" t="s">
        <v>963</v>
      </c>
      <c r="J5" s="1264" t="s">
        <v>964</v>
      </c>
      <c r="K5" s="1272" t="s">
        <v>965</v>
      </c>
      <c r="L5" s="1230" t="s">
        <v>969</v>
      </c>
      <c r="M5" s="1230" t="s">
        <v>970</v>
      </c>
      <c r="N5" s="1273" t="s">
        <v>971</v>
      </c>
      <c r="O5" s="1274" t="s">
        <v>972</v>
      </c>
      <c r="P5" s="1275" t="s">
        <v>966</v>
      </c>
      <c r="Q5" s="1275" t="s">
        <v>973</v>
      </c>
      <c r="R5" s="1275" t="s">
        <v>968</v>
      </c>
      <c r="S5" s="1265" t="s">
        <v>963</v>
      </c>
      <c r="T5" s="1276" t="s">
        <v>964</v>
      </c>
      <c r="U5" s="1277" t="s">
        <v>965</v>
      </c>
      <c r="V5" s="1278" t="s">
        <v>966</v>
      </c>
      <c r="W5" s="1279" t="s">
        <v>967</v>
      </c>
      <c r="X5" s="1280" t="s">
        <v>968</v>
      </c>
      <c r="Y5" s="1264" t="s">
        <v>963</v>
      </c>
      <c r="Z5" s="1281" t="s">
        <v>964</v>
      </c>
      <c r="AA5" s="1268" t="s">
        <v>965</v>
      </c>
      <c r="AB5" s="1230" t="s">
        <v>966</v>
      </c>
      <c r="AC5" s="1282" t="s">
        <v>967</v>
      </c>
      <c r="AD5" s="1283" t="s">
        <v>968</v>
      </c>
    </row>
    <row r="6" spans="1:36" s="293" customFormat="1" ht="13.5" customHeight="1">
      <c r="A6" s="1284"/>
      <c r="B6" s="1285"/>
      <c r="C6" s="1286"/>
      <c r="D6" s="1287"/>
      <c r="E6" s="1288"/>
      <c r="F6" s="1287"/>
      <c r="G6" s="1287"/>
      <c r="H6" s="1288"/>
      <c r="I6" s="1289"/>
      <c r="J6" s="1290"/>
      <c r="K6" s="1291"/>
      <c r="L6" s="1292"/>
      <c r="M6" s="1293"/>
      <c r="N6" s="1294"/>
      <c r="O6" s="1295"/>
      <c r="P6" s="1296"/>
      <c r="Q6" s="1297"/>
      <c r="R6" s="1297"/>
      <c r="S6" s="1298"/>
      <c r="T6" s="1299"/>
      <c r="U6" s="1300"/>
      <c r="V6" s="1301"/>
      <c r="W6" s="1302"/>
      <c r="X6" s="1303"/>
      <c r="Y6" s="1304"/>
      <c r="Z6" s="1290"/>
      <c r="AA6" s="1291"/>
      <c r="AB6" s="1305"/>
      <c r="AC6" s="1293"/>
      <c r="AD6" s="1294"/>
    </row>
    <row r="7" spans="1:36" s="293" customFormat="1" ht="20.25" customHeight="1">
      <c r="A7" s="1306" t="s">
        <v>974</v>
      </c>
      <c r="B7" s="1307"/>
      <c r="C7" s="1308"/>
      <c r="D7" s="1309"/>
      <c r="E7" s="1310"/>
      <c r="F7" s="1309"/>
      <c r="G7" s="1309"/>
      <c r="H7" s="1310"/>
      <c r="I7" s="1311"/>
      <c r="J7" s="1312"/>
      <c r="K7" s="1313"/>
      <c r="L7" s="1314"/>
      <c r="M7" s="1224"/>
      <c r="N7" s="1315"/>
      <c r="O7" s="1316"/>
      <c r="P7" s="1317"/>
      <c r="Q7" s="1318"/>
      <c r="R7" s="1318"/>
      <c r="S7" s="1319"/>
      <c r="T7" s="1320"/>
      <c r="U7" s="1321"/>
      <c r="V7" s="1322"/>
      <c r="W7" s="1323"/>
      <c r="X7" s="1324"/>
      <c r="Y7" s="1325"/>
      <c r="Z7" s="1326"/>
      <c r="AA7" s="1313"/>
      <c r="AB7" s="1327"/>
      <c r="AC7" s="1224"/>
      <c r="AD7" s="1315"/>
    </row>
    <row r="8" spans="1:36" s="293" customFormat="1" ht="12" customHeight="1">
      <c r="A8" s="1306"/>
      <c r="B8" s="1307"/>
      <c r="C8" s="1308"/>
      <c r="D8" s="1309"/>
      <c r="E8" s="1310"/>
      <c r="F8" s="1309"/>
      <c r="G8" s="1309"/>
      <c r="H8" s="1310"/>
      <c r="I8" s="1311"/>
      <c r="J8" s="1312"/>
      <c r="K8" s="1313"/>
      <c r="L8" s="1314"/>
      <c r="M8" s="1224"/>
      <c r="N8" s="1315"/>
      <c r="O8" s="1316"/>
      <c r="P8" s="1317"/>
      <c r="Q8" s="1318"/>
      <c r="R8" s="1318"/>
      <c r="S8" s="1319"/>
      <c r="T8" s="1320"/>
      <c r="U8" s="1321"/>
      <c r="V8" s="1322"/>
      <c r="W8" s="1323"/>
      <c r="X8" s="1324"/>
      <c r="Y8" s="1325"/>
      <c r="Z8" s="1326"/>
      <c r="AA8" s="1313"/>
      <c r="AB8" s="1327"/>
      <c r="AC8" s="1224"/>
      <c r="AD8" s="1315"/>
    </row>
    <row r="9" spans="1:36" s="293" customFormat="1" ht="14.25" customHeight="1">
      <c r="A9" s="1328" t="s">
        <v>190</v>
      </c>
      <c r="B9" s="1329"/>
      <c r="C9" s="1330">
        <f t="shared" ref="C9:H9" si="0">C10+C11+C12</f>
        <v>29666000</v>
      </c>
      <c r="D9" s="1331">
        <f t="shared" si="0"/>
        <v>23359000</v>
      </c>
      <c r="E9" s="1332">
        <f t="shared" si="0"/>
        <v>6307000</v>
      </c>
      <c r="F9" s="1331">
        <f t="shared" si="0"/>
        <v>29666000</v>
      </c>
      <c r="G9" s="1331">
        <f t="shared" si="0"/>
        <v>0</v>
      </c>
      <c r="H9" s="1332">
        <f t="shared" si="0"/>
        <v>0</v>
      </c>
      <c r="I9" s="1333">
        <f t="shared" ref="I9:AD9" si="1">SUM(I10:I30)</f>
        <v>81302000</v>
      </c>
      <c r="J9" s="1334">
        <f t="shared" si="1"/>
        <v>64017268</v>
      </c>
      <c r="K9" s="1333">
        <f t="shared" si="1"/>
        <v>17284732</v>
      </c>
      <c r="L9" s="1335">
        <f t="shared" si="1"/>
        <v>81302000</v>
      </c>
      <c r="M9" s="1335">
        <f t="shared" si="1"/>
        <v>0</v>
      </c>
      <c r="N9" s="1333">
        <f t="shared" si="1"/>
        <v>0</v>
      </c>
      <c r="O9" s="1336">
        <f t="shared" si="1"/>
        <v>0</v>
      </c>
      <c r="P9" s="1337">
        <f t="shared" si="1"/>
        <v>0</v>
      </c>
      <c r="Q9" s="1337">
        <f t="shared" si="1"/>
        <v>0</v>
      </c>
      <c r="R9" s="1337">
        <f t="shared" si="1"/>
        <v>0</v>
      </c>
      <c r="S9" s="1338">
        <f t="shared" si="1"/>
        <v>29659127</v>
      </c>
      <c r="T9" s="1339">
        <f t="shared" si="1"/>
        <v>23353588</v>
      </c>
      <c r="U9" s="1340">
        <f t="shared" si="1"/>
        <v>6305539</v>
      </c>
      <c r="V9" s="1339">
        <f t="shared" si="1"/>
        <v>29659127</v>
      </c>
      <c r="W9" s="1341">
        <f t="shared" si="1"/>
        <v>0</v>
      </c>
      <c r="X9" s="1340">
        <f t="shared" si="1"/>
        <v>0</v>
      </c>
      <c r="Y9" s="1342">
        <f t="shared" si="1"/>
        <v>29658659</v>
      </c>
      <c r="Z9" s="1334">
        <f t="shared" si="1"/>
        <v>23353278</v>
      </c>
      <c r="AA9" s="1333">
        <f t="shared" si="1"/>
        <v>6305381</v>
      </c>
      <c r="AB9" s="1334">
        <f t="shared" si="1"/>
        <v>29658659</v>
      </c>
      <c r="AC9" s="1335">
        <f t="shared" si="1"/>
        <v>0</v>
      </c>
      <c r="AD9" s="1333">
        <f t="shared" si="1"/>
        <v>0</v>
      </c>
    </row>
    <row r="10" spans="1:36" s="293" customFormat="1" ht="15" customHeight="1">
      <c r="A10" s="1306"/>
      <c r="B10" s="1343" t="s">
        <v>975</v>
      </c>
      <c r="C10" s="1344">
        <f>D10+E10</f>
        <v>7943000</v>
      </c>
      <c r="D10" s="1345">
        <v>6254000</v>
      </c>
      <c r="E10" s="1346">
        <v>1689000</v>
      </c>
      <c r="F10" s="1345">
        <v>7943000</v>
      </c>
      <c r="G10" s="1345">
        <v>0</v>
      </c>
      <c r="H10" s="1346">
        <v>0</v>
      </c>
      <c r="I10" s="1347">
        <f>SUM(L10:N10)</f>
        <v>7943000</v>
      </c>
      <c r="J10" s="1348">
        <v>6254000</v>
      </c>
      <c r="K10" s="1347">
        <v>1689000</v>
      </c>
      <c r="L10" s="1137">
        <v>7943000</v>
      </c>
      <c r="M10" s="1137">
        <v>0</v>
      </c>
      <c r="N10" s="1347">
        <v>0</v>
      </c>
      <c r="O10" s="1349">
        <f t="shared" ref="O10:O30" si="2">SUM(P10:R10)</f>
        <v>0</v>
      </c>
      <c r="P10" s="1252"/>
      <c r="Q10" s="1252"/>
      <c r="R10" s="1252"/>
      <c r="S10" s="1350">
        <f>SUM(V10:X10)</f>
        <v>7943000</v>
      </c>
      <c r="T10" s="1351">
        <v>6254000</v>
      </c>
      <c r="U10" s="660">
        <v>1689000</v>
      </c>
      <c r="V10" s="1351">
        <f>SUM(L10+P10)</f>
        <v>7943000</v>
      </c>
      <c r="W10" s="451">
        <f>SUM(M10+Q10)</f>
        <v>0</v>
      </c>
      <c r="X10" s="660">
        <f>SUM(N10+R10)</f>
        <v>0</v>
      </c>
      <c r="Y10" s="1352">
        <f>SUM(Z10:AA10)</f>
        <v>7943000</v>
      </c>
      <c r="Z10" s="1348">
        <v>6254000</v>
      </c>
      <c r="AA10" s="1347">
        <v>1689000</v>
      </c>
      <c r="AB10" s="1348">
        <v>7943000</v>
      </c>
      <c r="AC10" s="1137">
        <v>0</v>
      </c>
      <c r="AD10" s="1347">
        <v>0</v>
      </c>
    </row>
    <row r="11" spans="1:36" s="293" customFormat="1" ht="15.75" customHeight="1">
      <c r="A11" s="1306"/>
      <c r="B11" s="1343" t="s">
        <v>976</v>
      </c>
      <c r="C11" s="1344">
        <f>D11+E11</f>
        <v>21723000</v>
      </c>
      <c r="D11" s="1345">
        <v>17105000</v>
      </c>
      <c r="E11" s="1346">
        <v>4618000</v>
      </c>
      <c r="F11" s="1345">
        <v>21723000</v>
      </c>
      <c r="G11" s="1345"/>
      <c r="H11" s="1346"/>
      <c r="I11" s="1347">
        <f>SUM(L11:N11)</f>
        <v>21723000</v>
      </c>
      <c r="J11" s="1348">
        <v>17105000</v>
      </c>
      <c r="K11" s="1347">
        <v>4618000</v>
      </c>
      <c r="L11" s="1137">
        <v>21723000</v>
      </c>
      <c r="M11" s="1137">
        <v>0</v>
      </c>
      <c r="N11" s="1347">
        <v>0</v>
      </c>
      <c r="O11" s="1349">
        <f t="shared" si="2"/>
        <v>0</v>
      </c>
      <c r="P11" s="1252"/>
      <c r="Q11" s="1252"/>
      <c r="R11" s="1252"/>
      <c r="S11" s="1350">
        <f>SUM(V11:X11)</f>
        <v>21716127</v>
      </c>
      <c r="T11" s="1351">
        <v>17099588</v>
      </c>
      <c r="U11" s="660">
        <v>4616539</v>
      </c>
      <c r="V11" s="1351">
        <v>21716127</v>
      </c>
      <c r="W11" s="451">
        <f t="shared" ref="W11:W30" si="3">SUM(M11+Q11)</f>
        <v>0</v>
      </c>
      <c r="X11" s="660">
        <f t="shared" ref="X11:X30" si="4">SUM(N11+R11)</f>
        <v>0</v>
      </c>
      <c r="Y11" s="1352">
        <f>SUM(Z11:AA11)</f>
        <v>21715659</v>
      </c>
      <c r="Z11" s="1348">
        <v>17099278</v>
      </c>
      <c r="AA11" s="1347">
        <v>4616381</v>
      </c>
      <c r="AB11" s="1348">
        <v>21715659</v>
      </c>
      <c r="AC11" s="1137">
        <v>0</v>
      </c>
      <c r="AD11" s="1347"/>
    </row>
    <row r="12" spans="1:36" s="293" customFormat="1" ht="15" customHeight="1">
      <c r="A12" s="1306"/>
      <c r="B12" s="1343" t="s">
        <v>977</v>
      </c>
      <c r="C12" s="1344"/>
      <c r="D12" s="1345"/>
      <c r="E12" s="1346"/>
      <c r="F12" s="1345"/>
      <c r="G12" s="1345"/>
      <c r="H12" s="1346"/>
      <c r="I12" s="1347">
        <f>SUM(L12:N12)</f>
        <v>51636000</v>
      </c>
      <c r="J12" s="1348">
        <f t="shared" ref="J12:J30" si="5">SUM(I12)/1.27</f>
        <v>40658268</v>
      </c>
      <c r="K12" s="1347">
        <f t="shared" ref="K12:K30" si="6">SUM(J12)*0.27</f>
        <v>10977732</v>
      </c>
      <c r="L12" s="1137">
        <v>51636000</v>
      </c>
      <c r="M12" s="1137">
        <v>0</v>
      </c>
      <c r="N12" s="1347">
        <v>0</v>
      </c>
      <c r="O12" s="1349">
        <f t="shared" si="2"/>
        <v>0</v>
      </c>
      <c r="P12" s="1252"/>
      <c r="Q12" s="1252"/>
      <c r="R12" s="1252"/>
      <c r="S12" s="1350">
        <v>0</v>
      </c>
      <c r="T12" s="1351">
        <v>0</v>
      </c>
      <c r="U12" s="660">
        <f t="shared" ref="U12:U30" si="7">SUM(T12)*0.27</f>
        <v>0</v>
      </c>
      <c r="V12" s="1351">
        <v>0</v>
      </c>
      <c r="W12" s="451">
        <f t="shared" si="3"/>
        <v>0</v>
      </c>
      <c r="X12" s="660">
        <f t="shared" si="4"/>
        <v>0</v>
      </c>
      <c r="Y12" s="1352">
        <f>SUM(Z12:AA12)</f>
        <v>0</v>
      </c>
      <c r="Z12" s="1348">
        <v>0</v>
      </c>
      <c r="AA12" s="1347">
        <v>0</v>
      </c>
      <c r="AB12" s="1348">
        <v>0</v>
      </c>
      <c r="AC12" s="1137">
        <v>0</v>
      </c>
      <c r="AD12" s="1347">
        <v>0</v>
      </c>
    </row>
    <row r="13" spans="1:36" s="293" customFormat="1" ht="15" hidden="1" customHeight="1">
      <c r="A13" s="1306"/>
      <c r="B13" s="1343"/>
      <c r="C13" s="1344"/>
      <c r="D13" s="1345"/>
      <c r="E13" s="1346"/>
      <c r="F13" s="1345"/>
      <c r="G13" s="1345"/>
      <c r="H13" s="1346"/>
      <c r="I13" s="1347">
        <f t="shared" ref="I13:I30" si="8">SUM(L13:P13)</f>
        <v>0</v>
      </c>
      <c r="J13" s="1348">
        <f t="shared" si="5"/>
        <v>0</v>
      </c>
      <c r="K13" s="1347">
        <f t="shared" si="6"/>
        <v>0</v>
      </c>
      <c r="L13" s="1137">
        <v>0</v>
      </c>
      <c r="M13" s="1137">
        <v>0</v>
      </c>
      <c r="N13" s="1347">
        <v>0</v>
      </c>
      <c r="O13" s="1349">
        <f t="shared" si="2"/>
        <v>0</v>
      </c>
      <c r="P13" s="1252"/>
      <c r="Q13" s="1252"/>
      <c r="R13" s="1252"/>
      <c r="S13" s="1350">
        <f t="shared" ref="S13:S30" si="9">SUM(V13:X13)</f>
        <v>0</v>
      </c>
      <c r="T13" s="1351">
        <f t="shared" ref="T13:T30" si="10">SUM(S13)/1.27</f>
        <v>0</v>
      </c>
      <c r="U13" s="660">
        <f t="shared" si="7"/>
        <v>0</v>
      </c>
      <c r="V13" s="1351">
        <f t="shared" ref="V13:V30" si="11">SUM(L13+P13)</f>
        <v>0</v>
      </c>
      <c r="W13" s="451">
        <f t="shared" si="3"/>
        <v>0</v>
      </c>
      <c r="X13" s="660">
        <f t="shared" si="4"/>
        <v>0</v>
      </c>
      <c r="Y13" s="1352"/>
      <c r="Z13" s="1348"/>
      <c r="AA13" s="1347"/>
      <c r="AB13" s="1348"/>
      <c r="AC13" s="1137"/>
      <c r="AD13" s="1347"/>
    </row>
    <row r="14" spans="1:36" s="293" customFormat="1" ht="15" hidden="1" customHeight="1">
      <c r="A14" s="1306"/>
      <c r="B14" s="1343"/>
      <c r="C14" s="1344"/>
      <c r="D14" s="1345"/>
      <c r="E14" s="1346"/>
      <c r="F14" s="1345"/>
      <c r="G14" s="1345"/>
      <c r="H14" s="1346"/>
      <c r="I14" s="1347">
        <f t="shared" si="8"/>
        <v>0</v>
      </c>
      <c r="J14" s="1348">
        <f t="shared" si="5"/>
        <v>0</v>
      </c>
      <c r="K14" s="1347">
        <f t="shared" si="6"/>
        <v>0</v>
      </c>
      <c r="L14" s="1137">
        <v>0</v>
      </c>
      <c r="M14" s="1137">
        <v>0</v>
      </c>
      <c r="N14" s="1347">
        <v>0</v>
      </c>
      <c r="O14" s="1349">
        <f t="shared" si="2"/>
        <v>0</v>
      </c>
      <c r="P14" s="1252"/>
      <c r="Q14" s="1252"/>
      <c r="R14" s="1252"/>
      <c r="S14" s="1350">
        <f t="shared" si="9"/>
        <v>0</v>
      </c>
      <c r="T14" s="1351">
        <f t="shared" si="10"/>
        <v>0</v>
      </c>
      <c r="U14" s="660">
        <f t="shared" si="7"/>
        <v>0</v>
      </c>
      <c r="V14" s="1351">
        <f t="shared" si="11"/>
        <v>0</v>
      </c>
      <c r="W14" s="451">
        <f t="shared" si="3"/>
        <v>0</v>
      </c>
      <c r="X14" s="660">
        <f t="shared" si="4"/>
        <v>0</v>
      </c>
      <c r="Y14" s="1352"/>
      <c r="Z14" s="1348"/>
      <c r="AA14" s="1347"/>
      <c r="AB14" s="1348"/>
      <c r="AC14" s="1137"/>
      <c r="AD14" s="1347"/>
    </row>
    <row r="15" spans="1:36" s="293" customFormat="1" ht="15" hidden="1" customHeight="1">
      <c r="A15" s="1306"/>
      <c r="B15" s="1343"/>
      <c r="C15" s="1344"/>
      <c r="D15" s="1345"/>
      <c r="E15" s="1346"/>
      <c r="F15" s="1345"/>
      <c r="G15" s="1345"/>
      <c r="H15" s="1346"/>
      <c r="I15" s="1347">
        <f t="shared" si="8"/>
        <v>0</v>
      </c>
      <c r="J15" s="1348">
        <f t="shared" si="5"/>
        <v>0</v>
      </c>
      <c r="K15" s="1347">
        <f t="shared" si="6"/>
        <v>0</v>
      </c>
      <c r="L15" s="1137">
        <v>0</v>
      </c>
      <c r="M15" s="1137">
        <v>0</v>
      </c>
      <c r="N15" s="1347">
        <v>0</v>
      </c>
      <c r="O15" s="1349">
        <f t="shared" si="2"/>
        <v>0</v>
      </c>
      <c r="P15" s="1252"/>
      <c r="Q15" s="1252"/>
      <c r="R15" s="1252"/>
      <c r="S15" s="1350">
        <f t="shared" si="9"/>
        <v>0</v>
      </c>
      <c r="T15" s="1351">
        <f t="shared" si="10"/>
        <v>0</v>
      </c>
      <c r="U15" s="660">
        <f t="shared" si="7"/>
        <v>0</v>
      </c>
      <c r="V15" s="1351">
        <f t="shared" si="11"/>
        <v>0</v>
      </c>
      <c r="W15" s="451">
        <f t="shared" si="3"/>
        <v>0</v>
      </c>
      <c r="X15" s="660">
        <f t="shared" si="4"/>
        <v>0</v>
      </c>
      <c r="Y15" s="1352"/>
      <c r="Z15" s="1348"/>
      <c r="AA15" s="1347"/>
      <c r="AB15" s="1348"/>
      <c r="AC15" s="1137"/>
      <c r="AD15" s="1347"/>
    </row>
    <row r="16" spans="1:36" s="293" customFormat="1" ht="15" hidden="1" customHeight="1">
      <c r="A16" s="1306"/>
      <c r="B16" s="1343"/>
      <c r="C16" s="1344"/>
      <c r="D16" s="1345"/>
      <c r="E16" s="1346"/>
      <c r="F16" s="1345"/>
      <c r="G16" s="1345"/>
      <c r="H16" s="1346"/>
      <c r="I16" s="1347">
        <f t="shared" si="8"/>
        <v>0</v>
      </c>
      <c r="J16" s="1348">
        <f t="shared" si="5"/>
        <v>0</v>
      </c>
      <c r="K16" s="1347">
        <f t="shared" si="6"/>
        <v>0</v>
      </c>
      <c r="L16" s="1137">
        <v>0</v>
      </c>
      <c r="M16" s="1137">
        <v>0</v>
      </c>
      <c r="N16" s="1347">
        <v>0</v>
      </c>
      <c r="O16" s="1349">
        <f t="shared" si="2"/>
        <v>0</v>
      </c>
      <c r="P16" s="1252"/>
      <c r="Q16" s="1252"/>
      <c r="R16" s="1252"/>
      <c r="S16" s="1350">
        <f t="shared" si="9"/>
        <v>0</v>
      </c>
      <c r="T16" s="1351">
        <f t="shared" si="10"/>
        <v>0</v>
      </c>
      <c r="U16" s="660">
        <f t="shared" si="7"/>
        <v>0</v>
      </c>
      <c r="V16" s="1351">
        <f t="shared" si="11"/>
        <v>0</v>
      </c>
      <c r="W16" s="451">
        <f t="shared" si="3"/>
        <v>0</v>
      </c>
      <c r="X16" s="660">
        <f t="shared" si="4"/>
        <v>0</v>
      </c>
      <c r="Y16" s="1352"/>
      <c r="Z16" s="1348"/>
      <c r="AA16" s="1347"/>
      <c r="AB16" s="1348"/>
      <c r="AC16" s="1137"/>
      <c r="AD16" s="1347"/>
    </row>
    <row r="17" spans="1:30" s="293" customFormat="1" ht="15" hidden="1" customHeight="1">
      <c r="A17" s="1306"/>
      <c r="B17" s="1343"/>
      <c r="C17" s="1344"/>
      <c r="D17" s="1345"/>
      <c r="E17" s="1346"/>
      <c r="F17" s="1345"/>
      <c r="G17" s="1345"/>
      <c r="H17" s="1346"/>
      <c r="I17" s="1347">
        <f t="shared" si="8"/>
        <v>0</v>
      </c>
      <c r="J17" s="1348">
        <f t="shared" si="5"/>
        <v>0</v>
      </c>
      <c r="K17" s="1347">
        <f t="shared" si="6"/>
        <v>0</v>
      </c>
      <c r="L17" s="1137">
        <v>0</v>
      </c>
      <c r="M17" s="1137">
        <v>0</v>
      </c>
      <c r="N17" s="1347">
        <v>0</v>
      </c>
      <c r="O17" s="1349">
        <f t="shared" si="2"/>
        <v>0</v>
      </c>
      <c r="P17" s="1252"/>
      <c r="Q17" s="1252"/>
      <c r="R17" s="1252"/>
      <c r="S17" s="1350">
        <f t="shared" si="9"/>
        <v>0</v>
      </c>
      <c r="T17" s="1351">
        <f t="shared" si="10"/>
        <v>0</v>
      </c>
      <c r="U17" s="660">
        <f t="shared" si="7"/>
        <v>0</v>
      </c>
      <c r="V17" s="1351">
        <f t="shared" si="11"/>
        <v>0</v>
      </c>
      <c r="W17" s="451">
        <f t="shared" si="3"/>
        <v>0</v>
      </c>
      <c r="X17" s="660">
        <f t="shared" si="4"/>
        <v>0</v>
      </c>
      <c r="Y17" s="1352"/>
      <c r="Z17" s="1348"/>
      <c r="AA17" s="1347"/>
      <c r="AB17" s="1348"/>
      <c r="AC17" s="1137"/>
      <c r="AD17" s="1347"/>
    </row>
    <row r="18" spans="1:30" s="293" customFormat="1" ht="15" hidden="1" customHeight="1">
      <c r="A18" s="1306"/>
      <c r="B18" s="1343"/>
      <c r="C18" s="1344"/>
      <c r="D18" s="1345"/>
      <c r="E18" s="1346"/>
      <c r="F18" s="1345"/>
      <c r="G18" s="1345"/>
      <c r="H18" s="1346"/>
      <c r="I18" s="1347">
        <f t="shared" si="8"/>
        <v>0</v>
      </c>
      <c r="J18" s="1348">
        <f t="shared" si="5"/>
        <v>0</v>
      </c>
      <c r="K18" s="1347">
        <f t="shared" si="6"/>
        <v>0</v>
      </c>
      <c r="L18" s="1137">
        <v>0</v>
      </c>
      <c r="M18" s="1137">
        <v>0</v>
      </c>
      <c r="N18" s="1347">
        <v>0</v>
      </c>
      <c r="O18" s="1349">
        <f t="shared" si="2"/>
        <v>0</v>
      </c>
      <c r="P18" s="1252"/>
      <c r="Q18" s="1252"/>
      <c r="R18" s="1252"/>
      <c r="S18" s="1350">
        <f t="shared" si="9"/>
        <v>0</v>
      </c>
      <c r="T18" s="1351">
        <f t="shared" si="10"/>
        <v>0</v>
      </c>
      <c r="U18" s="660">
        <f t="shared" si="7"/>
        <v>0</v>
      </c>
      <c r="V18" s="1351">
        <f t="shared" si="11"/>
        <v>0</v>
      </c>
      <c r="W18" s="451">
        <f t="shared" si="3"/>
        <v>0</v>
      </c>
      <c r="X18" s="660">
        <f t="shared" si="4"/>
        <v>0</v>
      </c>
      <c r="Y18" s="1352"/>
      <c r="Z18" s="1348"/>
      <c r="AA18" s="1347"/>
      <c r="AB18" s="1348"/>
      <c r="AC18" s="1137"/>
      <c r="AD18" s="1347"/>
    </row>
    <row r="19" spans="1:30" s="293" customFormat="1" ht="15" hidden="1" customHeight="1">
      <c r="A19" s="1306"/>
      <c r="B19" s="1343"/>
      <c r="C19" s="1344"/>
      <c r="D19" s="1345"/>
      <c r="E19" s="1346"/>
      <c r="F19" s="1345"/>
      <c r="G19" s="1345"/>
      <c r="H19" s="1346"/>
      <c r="I19" s="1347">
        <f t="shared" si="8"/>
        <v>0</v>
      </c>
      <c r="J19" s="1348">
        <f t="shared" si="5"/>
        <v>0</v>
      </c>
      <c r="K19" s="1347">
        <f t="shared" si="6"/>
        <v>0</v>
      </c>
      <c r="L19" s="1137">
        <v>0</v>
      </c>
      <c r="M19" s="1137">
        <v>0</v>
      </c>
      <c r="N19" s="1347">
        <v>0</v>
      </c>
      <c r="O19" s="1349">
        <f t="shared" si="2"/>
        <v>0</v>
      </c>
      <c r="P19" s="1252"/>
      <c r="Q19" s="1252"/>
      <c r="R19" s="1252"/>
      <c r="S19" s="1350">
        <f t="shared" si="9"/>
        <v>0</v>
      </c>
      <c r="T19" s="1351">
        <f t="shared" si="10"/>
        <v>0</v>
      </c>
      <c r="U19" s="660">
        <f t="shared" si="7"/>
        <v>0</v>
      </c>
      <c r="V19" s="1351">
        <f t="shared" si="11"/>
        <v>0</v>
      </c>
      <c r="W19" s="451">
        <f t="shared" si="3"/>
        <v>0</v>
      </c>
      <c r="X19" s="660">
        <f t="shared" si="4"/>
        <v>0</v>
      </c>
      <c r="Y19" s="1352"/>
      <c r="Z19" s="1348"/>
      <c r="AA19" s="1347"/>
      <c r="AB19" s="1348"/>
      <c r="AC19" s="1137"/>
      <c r="AD19" s="1347"/>
    </row>
    <row r="20" spans="1:30" s="293" customFormat="1" ht="10.5" hidden="1" customHeight="1">
      <c r="A20" s="1306"/>
      <c r="B20" s="1343"/>
      <c r="C20" s="1344"/>
      <c r="D20" s="1345"/>
      <c r="E20" s="1346"/>
      <c r="F20" s="1345"/>
      <c r="G20" s="1345"/>
      <c r="H20" s="1346"/>
      <c r="I20" s="1347">
        <f t="shared" si="8"/>
        <v>0</v>
      </c>
      <c r="J20" s="1348">
        <f t="shared" si="5"/>
        <v>0</v>
      </c>
      <c r="K20" s="1347">
        <f t="shared" si="6"/>
        <v>0</v>
      </c>
      <c r="L20" s="1137">
        <v>0</v>
      </c>
      <c r="M20" s="1137">
        <v>0</v>
      </c>
      <c r="N20" s="1347">
        <v>0</v>
      </c>
      <c r="O20" s="1349">
        <f t="shared" si="2"/>
        <v>0</v>
      </c>
      <c r="P20" s="1252"/>
      <c r="Q20" s="1252"/>
      <c r="R20" s="1252"/>
      <c r="S20" s="1350">
        <f t="shared" si="9"/>
        <v>0</v>
      </c>
      <c r="T20" s="1351">
        <f t="shared" si="10"/>
        <v>0</v>
      </c>
      <c r="U20" s="660">
        <f t="shared" si="7"/>
        <v>0</v>
      </c>
      <c r="V20" s="1351">
        <f t="shared" si="11"/>
        <v>0</v>
      </c>
      <c r="W20" s="451">
        <f t="shared" si="3"/>
        <v>0</v>
      </c>
      <c r="X20" s="660">
        <f t="shared" si="4"/>
        <v>0</v>
      </c>
      <c r="Y20" s="1352"/>
      <c r="Z20" s="1348"/>
      <c r="AA20" s="1347"/>
      <c r="AB20" s="1348"/>
      <c r="AC20" s="1137"/>
      <c r="AD20" s="1347"/>
    </row>
    <row r="21" spans="1:30" s="293" customFormat="1" ht="10.5" hidden="1" customHeight="1">
      <c r="A21" s="1306"/>
      <c r="B21" s="1343"/>
      <c r="C21" s="1344"/>
      <c r="D21" s="1345"/>
      <c r="E21" s="1346"/>
      <c r="F21" s="1345"/>
      <c r="G21" s="1345"/>
      <c r="H21" s="1346"/>
      <c r="I21" s="1347">
        <f t="shared" si="8"/>
        <v>0</v>
      </c>
      <c r="J21" s="1348">
        <f t="shared" si="5"/>
        <v>0</v>
      </c>
      <c r="K21" s="1347">
        <f t="shared" si="6"/>
        <v>0</v>
      </c>
      <c r="L21" s="1137">
        <v>0</v>
      </c>
      <c r="M21" s="1137">
        <v>0</v>
      </c>
      <c r="N21" s="1347">
        <v>0</v>
      </c>
      <c r="O21" s="1349">
        <f t="shared" si="2"/>
        <v>0</v>
      </c>
      <c r="P21" s="1252"/>
      <c r="Q21" s="1252"/>
      <c r="R21" s="1252"/>
      <c r="S21" s="1350">
        <f t="shared" si="9"/>
        <v>0</v>
      </c>
      <c r="T21" s="1351">
        <f t="shared" si="10"/>
        <v>0</v>
      </c>
      <c r="U21" s="660">
        <f t="shared" si="7"/>
        <v>0</v>
      </c>
      <c r="V21" s="1351">
        <f t="shared" si="11"/>
        <v>0</v>
      </c>
      <c r="W21" s="451">
        <f t="shared" si="3"/>
        <v>0</v>
      </c>
      <c r="X21" s="660">
        <f t="shared" si="4"/>
        <v>0</v>
      </c>
      <c r="Y21" s="1352"/>
      <c r="Z21" s="1348"/>
      <c r="AA21" s="1347"/>
      <c r="AB21" s="1348"/>
      <c r="AC21" s="1137"/>
      <c r="AD21" s="1347"/>
    </row>
    <row r="22" spans="1:30" s="293" customFormat="1" ht="10.5" hidden="1" customHeight="1">
      <c r="A22" s="1306"/>
      <c r="B22" s="1343"/>
      <c r="C22" s="1344"/>
      <c r="D22" s="1345"/>
      <c r="E22" s="1346"/>
      <c r="F22" s="1345"/>
      <c r="G22" s="1345"/>
      <c r="H22" s="1346"/>
      <c r="I22" s="1347">
        <f t="shared" si="8"/>
        <v>0</v>
      </c>
      <c r="J22" s="1348">
        <f t="shared" si="5"/>
        <v>0</v>
      </c>
      <c r="K22" s="1347">
        <f t="shared" si="6"/>
        <v>0</v>
      </c>
      <c r="L22" s="1137">
        <v>0</v>
      </c>
      <c r="M22" s="1137">
        <v>0</v>
      </c>
      <c r="N22" s="1347">
        <v>0</v>
      </c>
      <c r="O22" s="1349">
        <f t="shared" si="2"/>
        <v>0</v>
      </c>
      <c r="P22" s="1252"/>
      <c r="Q22" s="1252"/>
      <c r="R22" s="1252"/>
      <c r="S22" s="1350">
        <f t="shared" si="9"/>
        <v>0</v>
      </c>
      <c r="T22" s="1351">
        <f t="shared" si="10"/>
        <v>0</v>
      </c>
      <c r="U22" s="660">
        <f t="shared" si="7"/>
        <v>0</v>
      </c>
      <c r="V22" s="1351">
        <f t="shared" si="11"/>
        <v>0</v>
      </c>
      <c r="W22" s="451">
        <f t="shared" si="3"/>
        <v>0</v>
      </c>
      <c r="X22" s="660">
        <f t="shared" si="4"/>
        <v>0</v>
      </c>
      <c r="Y22" s="1352"/>
      <c r="Z22" s="1348"/>
      <c r="AA22" s="1347"/>
      <c r="AB22" s="1348"/>
      <c r="AC22" s="1137"/>
      <c r="AD22" s="1347"/>
    </row>
    <row r="23" spans="1:30" s="293" customFormat="1" ht="10.5" hidden="1" customHeight="1">
      <c r="A23" s="1306"/>
      <c r="B23" s="1343"/>
      <c r="C23" s="1344"/>
      <c r="D23" s="1345"/>
      <c r="E23" s="1346"/>
      <c r="F23" s="1345"/>
      <c r="G23" s="1345"/>
      <c r="H23" s="1346"/>
      <c r="I23" s="1347">
        <f t="shared" si="8"/>
        <v>0</v>
      </c>
      <c r="J23" s="1348">
        <f t="shared" si="5"/>
        <v>0</v>
      </c>
      <c r="K23" s="1347">
        <f t="shared" si="6"/>
        <v>0</v>
      </c>
      <c r="L23" s="1137">
        <v>0</v>
      </c>
      <c r="M23" s="1137">
        <v>0</v>
      </c>
      <c r="N23" s="1347">
        <v>0</v>
      </c>
      <c r="O23" s="1349">
        <f t="shared" si="2"/>
        <v>0</v>
      </c>
      <c r="P23" s="1252"/>
      <c r="Q23" s="1252"/>
      <c r="R23" s="1252"/>
      <c r="S23" s="1350">
        <f t="shared" si="9"/>
        <v>0</v>
      </c>
      <c r="T23" s="1351">
        <f t="shared" si="10"/>
        <v>0</v>
      </c>
      <c r="U23" s="660">
        <f t="shared" si="7"/>
        <v>0</v>
      </c>
      <c r="V23" s="1351">
        <f t="shared" si="11"/>
        <v>0</v>
      </c>
      <c r="W23" s="451">
        <f t="shared" si="3"/>
        <v>0</v>
      </c>
      <c r="X23" s="660">
        <f t="shared" si="4"/>
        <v>0</v>
      </c>
      <c r="Y23" s="1352"/>
      <c r="Z23" s="1348"/>
      <c r="AA23" s="1347"/>
      <c r="AB23" s="1348"/>
      <c r="AC23" s="1137"/>
      <c r="AD23" s="1347"/>
    </row>
    <row r="24" spans="1:30" s="293" customFormat="1" ht="10.5" hidden="1" customHeight="1">
      <c r="A24" s="1306"/>
      <c r="B24" s="1343"/>
      <c r="C24" s="1344"/>
      <c r="D24" s="1345"/>
      <c r="E24" s="1346"/>
      <c r="F24" s="1345"/>
      <c r="G24" s="1345"/>
      <c r="H24" s="1346"/>
      <c r="I24" s="1347">
        <f t="shared" si="8"/>
        <v>0</v>
      </c>
      <c r="J24" s="1348">
        <f t="shared" si="5"/>
        <v>0</v>
      </c>
      <c r="K24" s="1347">
        <f t="shared" si="6"/>
        <v>0</v>
      </c>
      <c r="L24" s="1137">
        <v>0</v>
      </c>
      <c r="M24" s="1137">
        <v>0</v>
      </c>
      <c r="N24" s="1347">
        <v>0</v>
      </c>
      <c r="O24" s="1349">
        <f t="shared" si="2"/>
        <v>0</v>
      </c>
      <c r="P24" s="1252"/>
      <c r="Q24" s="1252"/>
      <c r="R24" s="1252"/>
      <c r="S24" s="1350">
        <f t="shared" si="9"/>
        <v>0</v>
      </c>
      <c r="T24" s="1351">
        <f t="shared" si="10"/>
        <v>0</v>
      </c>
      <c r="U24" s="660">
        <f t="shared" si="7"/>
        <v>0</v>
      </c>
      <c r="V24" s="1351">
        <f t="shared" si="11"/>
        <v>0</v>
      </c>
      <c r="W24" s="451">
        <f t="shared" si="3"/>
        <v>0</v>
      </c>
      <c r="X24" s="660">
        <f t="shared" si="4"/>
        <v>0</v>
      </c>
      <c r="Y24" s="1352"/>
      <c r="Z24" s="1348"/>
      <c r="AA24" s="1347"/>
      <c r="AB24" s="1348"/>
      <c r="AC24" s="1137"/>
      <c r="AD24" s="1347"/>
    </row>
    <row r="25" spans="1:30" s="293" customFormat="1" ht="10.5" hidden="1" customHeight="1">
      <c r="A25" s="1306"/>
      <c r="B25" s="1343"/>
      <c r="C25" s="1344"/>
      <c r="D25" s="1345"/>
      <c r="E25" s="1346"/>
      <c r="F25" s="1345"/>
      <c r="G25" s="1345"/>
      <c r="H25" s="1346"/>
      <c r="I25" s="1347">
        <f t="shared" si="8"/>
        <v>0</v>
      </c>
      <c r="J25" s="1348">
        <f t="shared" si="5"/>
        <v>0</v>
      </c>
      <c r="K25" s="1347">
        <f t="shared" si="6"/>
        <v>0</v>
      </c>
      <c r="L25" s="1137">
        <v>0</v>
      </c>
      <c r="M25" s="1137">
        <v>0</v>
      </c>
      <c r="N25" s="1347">
        <v>0</v>
      </c>
      <c r="O25" s="1349">
        <f t="shared" si="2"/>
        <v>0</v>
      </c>
      <c r="P25" s="1252"/>
      <c r="Q25" s="1252"/>
      <c r="R25" s="1252"/>
      <c r="S25" s="1350">
        <f t="shared" si="9"/>
        <v>0</v>
      </c>
      <c r="T25" s="1351">
        <f t="shared" si="10"/>
        <v>0</v>
      </c>
      <c r="U25" s="660">
        <f t="shared" si="7"/>
        <v>0</v>
      </c>
      <c r="V25" s="1351">
        <f t="shared" si="11"/>
        <v>0</v>
      </c>
      <c r="W25" s="451">
        <f t="shared" si="3"/>
        <v>0</v>
      </c>
      <c r="X25" s="660">
        <f t="shared" si="4"/>
        <v>0</v>
      </c>
      <c r="Y25" s="1352"/>
      <c r="Z25" s="1348"/>
      <c r="AA25" s="1347"/>
      <c r="AB25" s="1348"/>
      <c r="AC25" s="1137"/>
      <c r="AD25" s="1347"/>
    </row>
    <row r="26" spans="1:30" s="293" customFormat="1" ht="10.5" hidden="1" customHeight="1">
      <c r="A26" s="1306"/>
      <c r="B26" s="1343"/>
      <c r="C26" s="1344"/>
      <c r="D26" s="1345"/>
      <c r="E26" s="1346"/>
      <c r="F26" s="1345"/>
      <c r="G26" s="1345"/>
      <c r="H26" s="1346"/>
      <c r="I26" s="1347">
        <f t="shared" si="8"/>
        <v>0</v>
      </c>
      <c r="J26" s="1348">
        <f t="shared" si="5"/>
        <v>0</v>
      </c>
      <c r="K26" s="1347">
        <f t="shared" si="6"/>
        <v>0</v>
      </c>
      <c r="L26" s="1137">
        <v>0</v>
      </c>
      <c r="M26" s="1137">
        <v>0</v>
      </c>
      <c r="N26" s="1347">
        <v>0</v>
      </c>
      <c r="O26" s="1349">
        <f t="shared" si="2"/>
        <v>0</v>
      </c>
      <c r="P26" s="1252"/>
      <c r="Q26" s="1252"/>
      <c r="R26" s="1252"/>
      <c r="S26" s="1350">
        <f t="shared" si="9"/>
        <v>0</v>
      </c>
      <c r="T26" s="1351">
        <f t="shared" si="10"/>
        <v>0</v>
      </c>
      <c r="U26" s="660">
        <f t="shared" si="7"/>
        <v>0</v>
      </c>
      <c r="V26" s="1351">
        <f t="shared" si="11"/>
        <v>0</v>
      </c>
      <c r="W26" s="451">
        <f t="shared" si="3"/>
        <v>0</v>
      </c>
      <c r="X26" s="660">
        <f t="shared" si="4"/>
        <v>0</v>
      </c>
      <c r="Y26" s="1352"/>
      <c r="Z26" s="1348"/>
      <c r="AA26" s="1347"/>
      <c r="AB26" s="1348"/>
      <c r="AC26" s="1137"/>
      <c r="AD26" s="1347"/>
    </row>
    <row r="27" spans="1:30" s="293" customFormat="1" ht="10.5" hidden="1" customHeight="1">
      <c r="A27" s="1306"/>
      <c r="B27" s="1343"/>
      <c r="C27" s="1344"/>
      <c r="D27" s="1345"/>
      <c r="E27" s="1346"/>
      <c r="F27" s="1345"/>
      <c r="G27" s="1345"/>
      <c r="H27" s="1346"/>
      <c r="I27" s="1347">
        <f t="shared" si="8"/>
        <v>0</v>
      </c>
      <c r="J27" s="1348">
        <f t="shared" si="5"/>
        <v>0</v>
      </c>
      <c r="K27" s="1347">
        <f t="shared" si="6"/>
        <v>0</v>
      </c>
      <c r="L27" s="1137">
        <v>0</v>
      </c>
      <c r="M27" s="1137">
        <v>0</v>
      </c>
      <c r="N27" s="1347">
        <v>0</v>
      </c>
      <c r="O27" s="1349">
        <f t="shared" si="2"/>
        <v>0</v>
      </c>
      <c r="P27" s="1252"/>
      <c r="Q27" s="1252"/>
      <c r="R27" s="1252"/>
      <c r="S27" s="1350">
        <f t="shared" si="9"/>
        <v>0</v>
      </c>
      <c r="T27" s="1351">
        <f t="shared" si="10"/>
        <v>0</v>
      </c>
      <c r="U27" s="660">
        <f t="shared" si="7"/>
        <v>0</v>
      </c>
      <c r="V27" s="1351">
        <f t="shared" si="11"/>
        <v>0</v>
      </c>
      <c r="W27" s="451">
        <f t="shared" si="3"/>
        <v>0</v>
      </c>
      <c r="X27" s="660">
        <f t="shared" si="4"/>
        <v>0</v>
      </c>
      <c r="Y27" s="1352"/>
      <c r="Z27" s="1348"/>
      <c r="AA27" s="1347"/>
      <c r="AB27" s="1348"/>
      <c r="AC27" s="1137"/>
      <c r="AD27" s="1347"/>
    </row>
    <row r="28" spans="1:30" s="293" customFormat="1" ht="10.5" hidden="1" customHeight="1">
      <c r="A28" s="1306"/>
      <c r="B28" s="1343"/>
      <c r="C28" s="1344"/>
      <c r="D28" s="1345"/>
      <c r="E28" s="1346"/>
      <c r="F28" s="1345"/>
      <c r="G28" s="1345"/>
      <c r="H28" s="1346"/>
      <c r="I28" s="1347">
        <f t="shared" si="8"/>
        <v>0</v>
      </c>
      <c r="J28" s="1348">
        <f t="shared" si="5"/>
        <v>0</v>
      </c>
      <c r="K28" s="1347">
        <f t="shared" si="6"/>
        <v>0</v>
      </c>
      <c r="L28" s="1137">
        <v>0</v>
      </c>
      <c r="M28" s="1137">
        <v>0</v>
      </c>
      <c r="N28" s="1347">
        <v>0</v>
      </c>
      <c r="O28" s="1349">
        <f t="shared" si="2"/>
        <v>0</v>
      </c>
      <c r="P28" s="1252"/>
      <c r="Q28" s="1252"/>
      <c r="R28" s="1252"/>
      <c r="S28" s="1350">
        <f t="shared" si="9"/>
        <v>0</v>
      </c>
      <c r="T28" s="1351">
        <f t="shared" si="10"/>
        <v>0</v>
      </c>
      <c r="U28" s="660">
        <f t="shared" si="7"/>
        <v>0</v>
      </c>
      <c r="V28" s="1351">
        <f t="shared" si="11"/>
        <v>0</v>
      </c>
      <c r="W28" s="451">
        <f t="shared" si="3"/>
        <v>0</v>
      </c>
      <c r="X28" s="660">
        <f t="shared" si="4"/>
        <v>0</v>
      </c>
      <c r="Y28" s="1352"/>
      <c r="Z28" s="1348"/>
      <c r="AA28" s="1347"/>
      <c r="AB28" s="1348"/>
      <c r="AC28" s="1137"/>
      <c r="AD28" s="1347"/>
    </row>
    <row r="29" spans="1:30" s="293" customFormat="1" ht="10.5" hidden="1" customHeight="1">
      <c r="A29" s="1306"/>
      <c r="B29" s="1343"/>
      <c r="C29" s="1344"/>
      <c r="D29" s="1345"/>
      <c r="E29" s="1346"/>
      <c r="F29" s="1345"/>
      <c r="G29" s="1345"/>
      <c r="H29" s="1346"/>
      <c r="I29" s="1347">
        <f t="shared" si="8"/>
        <v>0</v>
      </c>
      <c r="J29" s="1348">
        <f t="shared" si="5"/>
        <v>0</v>
      </c>
      <c r="K29" s="1347">
        <f t="shared" si="6"/>
        <v>0</v>
      </c>
      <c r="L29" s="1137">
        <v>0</v>
      </c>
      <c r="M29" s="1137">
        <v>0</v>
      </c>
      <c r="N29" s="1347">
        <v>0</v>
      </c>
      <c r="O29" s="1349">
        <f t="shared" si="2"/>
        <v>0</v>
      </c>
      <c r="P29" s="1252"/>
      <c r="Q29" s="1252"/>
      <c r="R29" s="1252"/>
      <c r="S29" s="1350">
        <f t="shared" si="9"/>
        <v>0</v>
      </c>
      <c r="T29" s="1351">
        <f t="shared" si="10"/>
        <v>0</v>
      </c>
      <c r="U29" s="660">
        <f t="shared" si="7"/>
        <v>0</v>
      </c>
      <c r="V29" s="1351">
        <f t="shared" si="11"/>
        <v>0</v>
      </c>
      <c r="W29" s="451">
        <f t="shared" si="3"/>
        <v>0</v>
      </c>
      <c r="X29" s="660">
        <f t="shared" si="4"/>
        <v>0</v>
      </c>
      <c r="Y29" s="1352"/>
      <c r="Z29" s="1348"/>
      <c r="AA29" s="1347"/>
      <c r="AB29" s="1348"/>
      <c r="AC29" s="1137"/>
      <c r="AD29" s="1347"/>
    </row>
    <row r="30" spans="1:30" s="293" customFormat="1" ht="10.5" hidden="1" customHeight="1">
      <c r="A30" s="1306"/>
      <c r="B30" s="1343"/>
      <c r="C30" s="1344"/>
      <c r="D30" s="1345"/>
      <c r="E30" s="1346"/>
      <c r="F30" s="1345"/>
      <c r="G30" s="1345"/>
      <c r="H30" s="1346"/>
      <c r="I30" s="1347">
        <f t="shared" si="8"/>
        <v>0</v>
      </c>
      <c r="J30" s="1348">
        <f t="shared" si="5"/>
        <v>0</v>
      </c>
      <c r="K30" s="1347">
        <f t="shared" si="6"/>
        <v>0</v>
      </c>
      <c r="L30" s="1137">
        <v>0</v>
      </c>
      <c r="M30" s="1137">
        <v>0</v>
      </c>
      <c r="N30" s="1347">
        <v>0</v>
      </c>
      <c r="O30" s="1349">
        <f t="shared" si="2"/>
        <v>0</v>
      </c>
      <c r="P30" s="1252"/>
      <c r="Q30" s="1252"/>
      <c r="R30" s="1252"/>
      <c r="S30" s="1350">
        <f t="shared" si="9"/>
        <v>0</v>
      </c>
      <c r="T30" s="1351">
        <f t="shared" si="10"/>
        <v>0</v>
      </c>
      <c r="U30" s="660">
        <f t="shared" si="7"/>
        <v>0</v>
      </c>
      <c r="V30" s="1351">
        <f t="shared" si="11"/>
        <v>0</v>
      </c>
      <c r="W30" s="451">
        <f t="shared" si="3"/>
        <v>0</v>
      </c>
      <c r="X30" s="660">
        <f t="shared" si="4"/>
        <v>0</v>
      </c>
      <c r="Y30" s="1352"/>
      <c r="Z30" s="1348"/>
      <c r="AA30" s="1347"/>
      <c r="AB30" s="1348"/>
      <c r="AC30" s="1137"/>
      <c r="AD30" s="1347"/>
    </row>
    <row r="31" spans="1:30" s="293" customFormat="1" ht="14.25" customHeight="1">
      <c r="A31" s="1306"/>
      <c r="B31" s="1343"/>
      <c r="C31" s="1344"/>
      <c r="D31" s="1345"/>
      <c r="E31" s="1346"/>
      <c r="F31" s="1345"/>
      <c r="G31" s="1345"/>
      <c r="H31" s="1346"/>
      <c r="I31" s="1353"/>
      <c r="J31" s="1354"/>
      <c r="K31" s="1355"/>
      <c r="L31" s="304"/>
      <c r="M31" s="294"/>
      <c r="N31" s="1356"/>
      <c r="O31" s="1357"/>
      <c r="P31" s="1358"/>
      <c r="Q31" s="1359"/>
      <c r="R31" s="1359"/>
      <c r="S31" s="1360"/>
      <c r="T31" s="1361"/>
      <c r="U31" s="1362"/>
      <c r="V31" s="1363"/>
      <c r="W31" s="1364"/>
      <c r="X31" s="1365"/>
      <c r="Y31" s="1366"/>
      <c r="Z31" s="1367"/>
      <c r="AA31" s="1355"/>
      <c r="AB31" s="1368"/>
      <c r="AC31" s="294"/>
      <c r="AD31" s="1356"/>
    </row>
    <row r="32" spans="1:30" s="293" customFormat="1" ht="14.25" customHeight="1">
      <c r="A32" s="1328" t="s">
        <v>978</v>
      </c>
      <c r="B32" s="1329"/>
      <c r="C32" s="1330">
        <f t="shared" ref="C32:H32" si="12">C33+C34+C35+C36+C37</f>
        <v>100711000</v>
      </c>
      <c r="D32" s="1331">
        <f t="shared" si="12"/>
        <v>79300000</v>
      </c>
      <c r="E32" s="1332">
        <f t="shared" si="12"/>
        <v>21411000</v>
      </c>
      <c r="F32" s="1331">
        <f t="shared" si="12"/>
        <v>100711000</v>
      </c>
      <c r="G32" s="1331">
        <f t="shared" si="12"/>
        <v>0</v>
      </c>
      <c r="H32" s="1332">
        <f t="shared" si="12"/>
        <v>0</v>
      </c>
      <c r="I32" s="1333">
        <f t="shared" ref="I32:R32" si="13">SUM(I33:I52)</f>
        <v>100711000</v>
      </c>
      <c r="J32" s="1334">
        <f t="shared" si="13"/>
        <v>79300000</v>
      </c>
      <c r="K32" s="1333">
        <f t="shared" si="13"/>
        <v>21411000</v>
      </c>
      <c r="L32" s="1335">
        <f t="shared" si="13"/>
        <v>100711000</v>
      </c>
      <c r="M32" s="1335">
        <f t="shared" si="13"/>
        <v>0</v>
      </c>
      <c r="N32" s="1333">
        <f t="shared" si="13"/>
        <v>0</v>
      </c>
      <c r="O32" s="1336">
        <f t="shared" si="13"/>
        <v>0</v>
      </c>
      <c r="P32" s="1337">
        <f t="shared" si="13"/>
        <v>0</v>
      </c>
      <c r="Q32" s="1337">
        <f t="shared" si="13"/>
        <v>0</v>
      </c>
      <c r="R32" s="1337">
        <f t="shared" si="13"/>
        <v>0</v>
      </c>
      <c r="S32" s="1338">
        <f>SUM(S33:S54)</f>
        <v>106838629</v>
      </c>
      <c r="T32" s="1339">
        <f>SUM(T33:T54)</f>
        <v>84124905</v>
      </c>
      <c r="U32" s="1340">
        <f>SUM(U33:U54)</f>
        <v>22713724</v>
      </c>
      <c r="V32" s="1339">
        <f>SUM(V33:V54)</f>
        <v>106838629</v>
      </c>
      <c r="W32" s="1341">
        <f>SUM(W33:W52)</f>
        <v>0</v>
      </c>
      <c r="X32" s="1340">
        <f>SUM(X33:X52)</f>
        <v>0</v>
      </c>
      <c r="Y32" s="1342">
        <f t="shared" ref="Y32:AD32" si="14">SUM(Y33:Y54)</f>
        <v>99044173</v>
      </c>
      <c r="Z32" s="1342">
        <f t="shared" si="14"/>
        <v>77987538</v>
      </c>
      <c r="AA32" s="1342">
        <f t="shared" si="14"/>
        <v>21056635</v>
      </c>
      <c r="AB32" s="1342">
        <f t="shared" si="14"/>
        <v>99044173</v>
      </c>
      <c r="AC32" s="1335">
        <f t="shared" si="14"/>
        <v>0</v>
      </c>
      <c r="AD32" s="1333">
        <f t="shared" si="14"/>
        <v>0</v>
      </c>
    </row>
    <row r="33" spans="1:30" s="293" customFormat="1" ht="27.75" customHeight="1">
      <c r="A33" s="1306"/>
      <c r="B33" s="1343" t="s">
        <v>979</v>
      </c>
      <c r="C33" s="1344">
        <f>D33+E33</f>
        <v>20447000</v>
      </c>
      <c r="D33" s="1348">
        <v>16100000</v>
      </c>
      <c r="E33" s="1347">
        <v>4347000</v>
      </c>
      <c r="F33" s="1345">
        <v>20447000</v>
      </c>
      <c r="G33" s="1345">
        <v>0</v>
      </c>
      <c r="H33" s="1346">
        <v>0</v>
      </c>
      <c r="I33" s="1347">
        <f>SUM(L33:N33)</f>
        <v>20447000</v>
      </c>
      <c r="J33" s="1348">
        <f t="shared" ref="J33:J52" si="15">SUM(I33)/1.27</f>
        <v>16100000</v>
      </c>
      <c r="K33" s="1347">
        <f t="shared" ref="K33:K52" si="16">SUM(J33)*0.27</f>
        <v>4347000</v>
      </c>
      <c r="L33" s="1137">
        <v>20447000</v>
      </c>
      <c r="M33" s="1137">
        <v>0</v>
      </c>
      <c r="N33" s="1347">
        <v>0</v>
      </c>
      <c r="O33" s="1349">
        <f t="shared" ref="O33:O52" si="17">SUM(P33:R33)</f>
        <v>0</v>
      </c>
      <c r="P33" s="1252"/>
      <c r="Q33" s="1252"/>
      <c r="R33" s="1252"/>
      <c r="S33" s="1350">
        <v>20344251</v>
      </c>
      <c r="T33" s="1351">
        <f>SUM(S33)/1.27</f>
        <v>16019095</v>
      </c>
      <c r="U33" s="660">
        <f>SUM(T33)*0.27</f>
        <v>4325156</v>
      </c>
      <c r="V33" s="1351">
        <v>20344251</v>
      </c>
      <c r="W33" s="451">
        <f t="shared" ref="W33:W52" si="18">SUM(M33+Q33)</f>
        <v>0</v>
      </c>
      <c r="X33" s="660">
        <f t="shared" ref="X33:X52" si="19">SUM(N33+R33)</f>
        <v>0</v>
      </c>
      <c r="Y33" s="1352">
        <v>20296998</v>
      </c>
      <c r="Z33" s="1348">
        <v>15981888</v>
      </c>
      <c r="AA33" s="1347">
        <v>4315110</v>
      </c>
      <c r="AB33" s="1348">
        <v>20296998</v>
      </c>
      <c r="AC33" s="1137">
        <v>0</v>
      </c>
      <c r="AD33" s="1347">
        <v>0</v>
      </c>
    </row>
    <row r="34" spans="1:30" s="293" customFormat="1" ht="15" customHeight="1">
      <c r="A34" s="1306"/>
      <c r="B34" s="1343" t="s">
        <v>980</v>
      </c>
      <c r="C34" s="1344">
        <f>D34+E34</f>
        <v>5080000</v>
      </c>
      <c r="D34" s="1348">
        <v>4000000</v>
      </c>
      <c r="E34" s="1347">
        <v>1080000</v>
      </c>
      <c r="F34" s="1345">
        <v>5080000</v>
      </c>
      <c r="G34" s="1345">
        <v>0</v>
      </c>
      <c r="H34" s="1346">
        <v>0</v>
      </c>
      <c r="I34" s="1347">
        <f>SUM(L34:N34)</f>
        <v>5080000</v>
      </c>
      <c r="J34" s="1348">
        <f t="shared" si="15"/>
        <v>4000000</v>
      </c>
      <c r="K34" s="1347">
        <f t="shared" si="16"/>
        <v>1080000</v>
      </c>
      <c r="L34" s="1137">
        <v>5080000</v>
      </c>
      <c r="M34" s="1137">
        <v>0</v>
      </c>
      <c r="N34" s="1347">
        <v>0</v>
      </c>
      <c r="O34" s="1349">
        <f t="shared" si="17"/>
        <v>0</v>
      </c>
      <c r="P34" s="1252"/>
      <c r="Q34" s="1252"/>
      <c r="R34" s="1252"/>
      <c r="S34" s="1350">
        <v>5157655</v>
      </c>
      <c r="T34" s="1351">
        <v>4061146</v>
      </c>
      <c r="U34" s="660">
        <f>SUM(T34)*0.27</f>
        <v>1096509</v>
      </c>
      <c r="V34" s="1351">
        <v>5157655</v>
      </c>
      <c r="W34" s="451">
        <f t="shared" si="18"/>
        <v>0</v>
      </c>
      <c r="X34" s="660">
        <f t="shared" si="19"/>
        <v>0</v>
      </c>
      <c r="Y34" s="1352">
        <v>5157655</v>
      </c>
      <c r="Z34" s="1348">
        <v>4061146</v>
      </c>
      <c r="AA34" s="1347">
        <v>1096509</v>
      </c>
      <c r="AB34" s="1348">
        <v>5157655</v>
      </c>
      <c r="AC34" s="1137">
        <v>0</v>
      </c>
      <c r="AD34" s="1347">
        <v>0</v>
      </c>
    </row>
    <row r="35" spans="1:30" s="293" customFormat="1" ht="28.5" customHeight="1">
      <c r="A35" s="1306"/>
      <c r="B35" s="1343" t="s">
        <v>981</v>
      </c>
      <c r="C35" s="1344">
        <f>D35+E35</f>
        <v>19050000</v>
      </c>
      <c r="D35" s="1348">
        <v>15000000</v>
      </c>
      <c r="E35" s="1347">
        <v>4050000</v>
      </c>
      <c r="F35" s="1345">
        <v>19050000</v>
      </c>
      <c r="G35" s="1345">
        <v>0</v>
      </c>
      <c r="H35" s="1346">
        <v>0</v>
      </c>
      <c r="I35" s="1347">
        <f>SUM(L35:N35)</f>
        <v>19050000</v>
      </c>
      <c r="J35" s="1348">
        <f t="shared" si="15"/>
        <v>15000000</v>
      </c>
      <c r="K35" s="1347">
        <f t="shared" si="16"/>
        <v>4050000</v>
      </c>
      <c r="L35" s="1137">
        <v>19050000</v>
      </c>
      <c r="M35" s="1137">
        <v>0</v>
      </c>
      <c r="N35" s="1347">
        <v>0</v>
      </c>
      <c r="O35" s="1349">
        <f t="shared" si="17"/>
        <v>0</v>
      </c>
      <c r="P35" s="1252"/>
      <c r="Q35" s="1252"/>
      <c r="R35" s="1252"/>
      <c r="S35" s="1350">
        <f>SUM(V35:X35)</f>
        <v>19075094</v>
      </c>
      <c r="T35" s="1351">
        <f>SUM(S35)/1.27</f>
        <v>15019759</v>
      </c>
      <c r="U35" s="660">
        <f>SUM(T35)*0.27</f>
        <v>4055335</v>
      </c>
      <c r="V35" s="1351">
        <v>19075094</v>
      </c>
      <c r="W35" s="451">
        <f t="shared" si="18"/>
        <v>0</v>
      </c>
      <c r="X35" s="660">
        <f t="shared" si="19"/>
        <v>0</v>
      </c>
      <c r="Y35" s="1352">
        <v>19075094</v>
      </c>
      <c r="Z35" s="1348">
        <v>15019759</v>
      </c>
      <c r="AA35" s="1347">
        <v>4055335</v>
      </c>
      <c r="AB35" s="1348">
        <v>19075094</v>
      </c>
      <c r="AC35" s="1137">
        <v>0</v>
      </c>
      <c r="AD35" s="1347">
        <v>0</v>
      </c>
    </row>
    <row r="36" spans="1:30" s="293" customFormat="1" ht="28.5" customHeight="1">
      <c r="A36" s="1306"/>
      <c r="B36" s="1343" t="s">
        <v>982</v>
      </c>
      <c r="C36" s="1344">
        <f>D36+E36</f>
        <v>27559000</v>
      </c>
      <c r="D36" s="1348">
        <v>21700000</v>
      </c>
      <c r="E36" s="1347">
        <v>5859000</v>
      </c>
      <c r="F36" s="1345">
        <v>27559000</v>
      </c>
      <c r="G36" s="1345">
        <v>0</v>
      </c>
      <c r="H36" s="1346">
        <v>0</v>
      </c>
      <c r="I36" s="1347">
        <f>SUM(L36:N36)</f>
        <v>27559000</v>
      </c>
      <c r="J36" s="1348">
        <f t="shared" si="15"/>
        <v>21700000</v>
      </c>
      <c r="K36" s="1347">
        <f t="shared" si="16"/>
        <v>5859000</v>
      </c>
      <c r="L36" s="1137">
        <v>27559000</v>
      </c>
      <c r="M36" s="1137">
        <v>0</v>
      </c>
      <c r="N36" s="1347">
        <v>0</v>
      </c>
      <c r="O36" s="1349">
        <f t="shared" si="17"/>
        <v>0</v>
      </c>
      <c r="P36" s="1252"/>
      <c r="Q36" s="1252"/>
      <c r="R36" s="1252"/>
      <c r="S36" s="1350">
        <v>26416000</v>
      </c>
      <c r="T36" s="1351">
        <f>SUM(S36)/1.27</f>
        <v>20800000</v>
      </c>
      <c r="U36" s="660">
        <v>5616000</v>
      </c>
      <c r="V36" s="1351">
        <v>26416000</v>
      </c>
      <c r="W36" s="451">
        <f t="shared" si="18"/>
        <v>0</v>
      </c>
      <c r="X36" s="660">
        <f t="shared" si="19"/>
        <v>0</v>
      </c>
      <c r="Y36" s="1352">
        <v>26034797</v>
      </c>
      <c r="Z36" s="1348">
        <v>20499840</v>
      </c>
      <c r="AA36" s="1347">
        <v>5534957</v>
      </c>
      <c r="AB36" s="1348">
        <v>26034797</v>
      </c>
      <c r="AC36" s="1137">
        <v>0</v>
      </c>
      <c r="AD36" s="1347">
        <v>0</v>
      </c>
    </row>
    <row r="37" spans="1:30" s="293" customFormat="1" ht="27.75" customHeight="1">
      <c r="A37" s="1306"/>
      <c r="B37" s="1343" t="s">
        <v>983</v>
      </c>
      <c r="C37" s="1344">
        <f>D37+E37</f>
        <v>28575000</v>
      </c>
      <c r="D37" s="1348">
        <v>22500000</v>
      </c>
      <c r="E37" s="1347">
        <v>6075000</v>
      </c>
      <c r="F37" s="1345">
        <v>28575000</v>
      </c>
      <c r="G37" s="1345">
        <v>0</v>
      </c>
      <c r="H37" s="1346">
        <v>0</v>
      </c>
      <c r="I37" s="1347">
        <f>SUM(L37:N37)</f>
        <v>28575000</v>
      </c>
      <c r="J37" s="1348">
        <f t="shared" si="15"/>
        <v>22500000</v>
      </c>
      <c r="K37" s="1347">
        <f t="shared" si="16"/>
        <v>6075000</v>
      </c>
      <c r="L37" s="1137">
        <v>28575000</v>
      </c>
      <c r="M37" s="1137">
        <v>0</v>
      </c>
      <c r="N37" s="1347">
        <v>0</v>
      </c>
      <c r="O37" s="1349">
        <f t="shared" si="17"/>
        <v>0</v>
      </c>
      <c r="P37" s="1252"/>
      <c r="Q37" s="1252"/>
      <c r="R37" s="1252"/>
      <c r="S37" s="1350">
        <v>28479629</v>
      </c>
      <c r="T37" s="1351">
        <v>22424905</v>
      </c>
      <c r="U37" s="660">
        <f t="shared" ref="U37:U52" si="20">SUM(T37)*0.27</f>
        <v>6054724</v>
      </c>
      <c r="V37" s="1351">
        <v>28479629</v>
      </c>
      <c r="W37" s="451">
        <f t="shared" si="18"/>
        <v>0</v>
      </c>
      <c r="X37" s="660">
        <f t="shared" si="19"/>
        <v>0</v>
      </c>
      <c r="Y37" s="1352">
        <v>28479629</v>
      </c>
      <c r="Z37" s="1348">
        <v>22424905</v>
      </c>
      <c r="AA37" s="1347">
        <v>6054724</v>
      </c>
      <c r="AB37" s="1348">
        <v>28479629</v>
      </c>
      <c r="AC37" s="1137">
        <v>0</v>
      </c>
      <c r="AD37" s="1347">
        <v>0</v>
      </c>
    </row>
    <row r="38" spans="1:30" s="293" customFormat="1" ht="15" hidden="1" customHeight="1">
      <c r="A38" s="1306"/>
      <c r="B38" s="1343"/>
      <c r="C38" s="1344"/>
      <c r="D38" s="1345"/>
      <c r="E38" s="1346"/>
      <c r="F38" s="1345"/>
      <c r="G38" s="1345"/>
      <c r="H38" s="1346"/>
      <c r="I38" s="1347">
        <f t="shared" ref="I38:I52" si="21">SUM(L38:P38)</f>
        <v>0</v>
      </c>
      <c r="J38" s="1348">
        <f t="shared" si="15"/>
        <v>0</v>
      </c>
      <c r="K38" s="1347">
        <f t="shared" si="16"/>
        <v>0</v>
      </c>
      <c r="L38" s="1137">
        <v>0</v>
      </c>
      <c r="M38" s="1137">
        <v>0</v>
      </c>
      <c r="N38" s="1347">
        <v>0</v>
      </c>
      <c r="O38" s="1349">
        <f t="shared" si="17"/>
        <v>0</v>
      </c>
      <c r="P38" s="1252"/>
      <c r="Q38" s="1252"/>
      <c r="R38" s="1252"/>
      <c r="S38" s="1350">
        <f t="shared" ref="S38:S52" si="22">SUM(V38:X38)</f>
        <v>0</v>
      </c>
      <c r="T38" s="1351">
        <f t="shared" ref="T38:T52" si="23">SUM(S38)/1.27</f>
        <v>0</v>
      </c>
      <c r="U38" s="660">
        <f t="shared" si="20"/>
        <v>0</v>
      </c>
      <c r="V38" s="1351">
        <f t="shared" ref="V38:V52" si="24">SUM(L38+P38)</f>
        <v>0</v>
      </c>
      <c r="W38" s="451">
        <f t="shared" si="18"/>
        <v>0</v>
      </c>
      <c r="X38" s="660">
        <f t="shared" si="19"/>
        <v>0</v>
      </c>
      <c r="Y38" s="1352"/>
      <c r="Z38" s="1348"/>
      <c r="AA38" s="1347"/>
      <c r="AB38" s="1348"/>
      <c r="AC38" s="1137">
        <v>0</v>
      </c>
      <c r="AD38" s="1347">
        <v>0</v>
      </c>
    </row>
    <row r="39" spans="1:30" s="293" customFormat="1" ht="15" hidden="1" customHeight="1">
      <c r="A39" s="1306"/>
      <c r="B39" s="1343"/>
      <c r="C39" s="1344"/>
      <c r="D39" s="1345"/>
      <c r="E39" s="1346"/>
      <c r="F39" s="1345"/>
      <c r="G39" s="1345"/>
      <c r="H39" s="1346"/>
      <c r="I39" s="1347">
        <f t="shared" si="21"/>
        <v>0</v>
      </c>
      <c r="J39" s="1348">
        <f t="shared" si="15"/>
        <v>0</v>
      </c>
      <c r="K39" s="1347">
        <f t="shared" si="16"/>
        <v>0</v>
      </c>
      <c r="L39" s="1137">
        <v>0</v>
      </c>
      <c r="M39" s="1137">
        <v>0</v>
      </c>
      <c r="N39" s="1347">
        <v>0</v>
      </c>
      <c r="O39" s="1349">
        <f t="shared" si="17"/>
        <v>0</v>
      </c>
      <c r="P39" s="1252"/>
      <c r="Q39" s="1252"/>
      <c r="R39" s="1252"/>
      <c r="S39" s="1350">
        <f t="shared" si="22"/>
        <v>0</v>
      </c>
      <c r="T39" s="1351">
        <f t="shared" si="23"/>
        <v>0</v>
      </c>
      <c r="U39" s="660">
        <f t="shared" si="20"/>
        <v>0</v>
      </c>
      <c r="V39" s="1351">
        <f t="shared" si="24"/>
        <v>0</v>
      </c>
      <c r="W39" s="451">
        <f t="shared" si="18"/>
        <v>0</v>
      </c>
      <c r="X39" s="660">
        <f t="shared" si="19"/>
        <v>0</v>
      </c>
      <c r="Y39" s="1352"/>
      <c r="Z39" s="1348"/>
      <c r="AA39" s="1347"/>
      <c r="AB39" s="1348"/>
      <c r="AC39" s="1137"/>
      <c r="AD39" s="1347"/>
    </row>
    <row r="40" spans="1:30" s="293" customFormat="1" ht="15" hidden="1" customHeight="1">
      <c r="A40" s="1306"/>
      <c r="B40" s="1343"/>
      <c r="C40" s="1344"/>
      <c r="D40" s="1345"/>
      <c r="E40" s="1346"/>
      <c r="F40" s="1345"/>
      <c r="G40" s="1345"/>
      <c r="H40" s="1346"/>
      <c r="I40" s="1347">
        <f t="shared" si="21"/>
        <v>0</v>
      </c>
      <c r="J40" s="1348">
        <f t="shared" si="15"/>
        <v>0</v>
      </c>
      <c r="K40" s="1347">
        <f t="shared" si="16"/>
        <v>0</v>
      </c>
      <c r="L40" s="1137">
        <v>0</v>
      </c>
      <c r="M40" s="1137">
        <v>0</v>
      </c>
      <c r="N40" s="1347">
        <v>0</v>
      </c>
      <c r="O40" s="1349">
        <f t="shared" si="17"/>
        <v>0</v>
      </c>
      <c r="P40" s="1252"/>
      <c r="Q40" s="1252"/>
      <c r="R40" s="1252"/>
      <c r="S40" s="1350">
        <f t="shared" si="22"/>
        <v>0</v>
      </c>
      <c r="T40" s="1351">
        <f t="shared" si="23"/>
        <v>0</v>
      </c>
      <c r="U40" s="660">
        <f t="shared" si="20"/>
        <v>0</v>
      </c>
      <c r="V40" s="1351">
        <f t="shared" si="24"/>
        <v>0</v>
      </c>
      <c r="W40" s="451">
        <f t="shared" si="18"/>
        <v>0</v>
      </c>
      <c r="X40" s="660">
        <f t="shared" si="19"/>
        <v>0</v>
      </c>
      <c r="Y40" s="1352"/>
      <c r="Z40" s="1348"/>
      <c r="AA40" s="1347"/>
      <c r="AB40" s="1348"/>
      <c r="AC40" s="1137"/>
      <c r="AD40" s="1347"/>
    </row>
    <row r="41" spans="1:30" s="293" customFormat="1" ht="15" hidden="1" customHeight="1">
      <c r="A41" s="1306"/>
      <c r="B41" s="1343"/>
      <c r="C41" s="1344"/>
      <c r="D41" s="1345"/>
      <c r="E41" s="1346"/>
      <c r="F41" s="1345"/>
      <c r="G41" s="1345"/>
      <c r="H41" s="1346"/>
      <c r="I41" s="1347">
        <f t="shared" si="21"/>
        <v>0</v>
      </c>
      <c r="J41" s="1348">
        <f t="shared" si="15"/>
        <v>0</v>
      </c>
      <c r="K41" s="1347">
        <f t="shared" si="16"/>
        <v>0</v>
      </c>
      <c r="L41" s="1137">
        <v>0</v>
      </c>
      <c r="M41" s="1137">
        <v>0</v>
      </c>
      <c r="N41" s="1347">
        <v>0</v>
      </c>
      <c r="O41" s="1349">
        <f t="shared" si="17"/>
        <v>0</v>
      </c>
      <c r="P41" s="1252"/>
      <c r="Q41" s="1252"/>
      <c r="R41" s="1252"/>
      <c r="S41" s="1350">
        <f t="shared" si="22"/>
        <v>0</v>
      </c>
      <c r="T41" s="1351">
        <f t="shared" si="23"/>
        <v>0</v>
      </c>
      <c r="U41" s="660">
        <f t="shared" si="20"/>
        <v>0</v>
      </c>
      <c r="V41" s="1351">
        <f t="shared" si="24"/>
        <v>0</v>
      </c>
      <c r="W41" s="451">
        <f t="shared" si="18"/>
        <v>0</v>
      </c>
      <c r="X41" s="660">
        <f t="shared" si="19"/>
        <v>0</v>
      </c>
      <c r="Y41" s="1352"/>
      <c r="Z41" s="1348"/>
      <c r="AA41" s="1347"/>
      <c r="AB41" s="1348"/>
      <c r="AC41" s="1137"/>
      <c r="AD41" s="1347"/>
    </row>
    <row r="42" spans="1:30" s="293" customFormat="1" ht="15" hidden="1" customHeight="1">
      <c r="A42" s="1306"/>
      <c r="B42" s="1343"/>
      <c r="C42" s="1344"/>
      <c r="D42" s="1345"/>
      <c r="E42" s="1346"/>
      <c r="F42" s="1345"/>
      <c r="G42" s="1345"/>
      <c r="H42" s="1346"/>
      <c r="I42" s="1347">
        <f t="shared" si="21"/>
        <v>0</v>
      </c>
      <c r="J42" s="1348">
        <f t="shared" si="15"/>
        <v>0</v>
      </c>
      <c r="K42" s="1347">
        <f t="shared" si="16"/>
        <v>0</v>
      </c>
      <c r="L42" s="1137">
        <v>0</v>
      </c>
      <c r="M42" s="1137">
        <v>0</v>
      </c>
      <c r="N42" s="1347">
        <v>0</v>
      </c>
      <c r="O42" s="1349">
        <f t="shared" si="17"/>
        <v>0</v>
      </c>
      <c r="P42" s="1252"/>
      <c r="Q42" s="1252"/>
      <c r="R42" s="1252"/>
      <c r="S42" s="1350">
        <f t="shared" si="22"/>
        <v>0</v>
      </c>
      <c r="T42" s="1351">
        <f t="shared" si="23"/>
        <v>0</v>
      </c>
      <c r="U42" s="660">
        <f t="shared" si="20"/>
        <v>0</v>
      </c>
      <c r="V42" s="1351">
        <f t="shared" si="24"/>
        <v>0</v>
      </c>
      <c r="W42" s="451">
        <f t="shared" si="18"/>
        <v>0</v>
      </c>
      <c r="X42" s="660">
        <f t="shared" si="19"/>
        <v>0</v>
      </c>
      <c r="Y42" s="1352"/>
      <c r="Z42" s="1348"/>
      <c r="AA42" s="1347"/>
      <c r="AB42" s="1348"/>
      <c r="AC42" s="1137"/>
      <c r="AD42" s="1347"/>
    </row>
    <row r="43" spans="1:30" s="293" customFormat="1" ht="15" hidden="1" customHeight="1">
      <c r="A43" s="1306"/>
      <c r="B43" s="1343"/>
      <c r="C43" s="1344"/>
      <c r="D43" s="1345"/>
      <c r="E43" s="1346"/>
      <c r="F43" s="1345"/>
      <c r="G43" s="1345"/>
      <c r="H43" s="1346"/>
      <c r="I43" s="1347">
        <f t="shared" si="21"/>
        <v>0</v>
      </c>
      <c r="J43" s="1348">
        <f t="shared" si="15"/>
        <v>0</v>
      </c>
      <c r="K43" s="1347">
        <f t="shared" si="16"/>
        <v>0</v>
      </c>
      <c r="L43" s="1137">
        <v>0</v>
      </c>
      <c r="M43" s="1137">
        <v>0</v>
      </c>
      <c r="N43" s="1347">
        <v>0</v>
      </c>
      <c r="O43" s="1349">
        <f t="shared" si="17"/>
        <v>0</v>
      </c>
      <c r="P43" s="1252"/>
      <c r="Q43" s="1252"/>
      <c r="R43" s="1252"/>
      <c r="S43" s="1350">
        <f t="shared" si="22"/>
        <v>0</v>
      </c>
      <c r="T43" s="1351">
        <f t="shared" si="23"/>
        <v>0</v>
      </c>
      <c r="U43" s="660">
        <f t="shared" si="20"/>
        <v>0</v>
      </c>
      <c r="V43" s="1351">
        <f t="shared" si="24"/>
        <v>0</v>
      </c>
      <c r="W43" s="451">
        <f t="shared" si="18"/>
        <v>0</v>
      </c>
      <c r="X43" s="660">
        <f t="shared" si="19"/>
        <v>0</v>
      </c>
      <c r="Y43" s="1352"/>
      <c r="Z43" s="1348"/>
      <c r="AA43" s="1347"/>
      <c r="AB43" s="1348"/>
      <c r="AC43" s="1137"/>
      <c r="AD43" s="1347"/>
    </row>
    <row r="44" spans="1:30" s="293" customFormat="1" ht="15" hidden="1" customHeight="1">
      <c r="A44" s="1306"/>
      <c r="B44" s="1343"/>
      <c r="C44" s="1344"/>
      <c r="D44" s="1345"/>
      <c r="E44" s="1346"/>
      <c r="F44" s="1345"/>
      <c r="G44" s="1345"/>
      <c r="H44" s="1346"/>
      <c r="I44" s="1347">
        <f t="shared" si="21"/>
        <v>0</v>
      </c>
      <c r="J44" s="1348">
        <f t="shared" si="15"/>
        <v>0</v>
      </c>
      <c r="K44" s="1347">
        <f t="shared" si="16"/>
        <v>0</v>
      </c>
      <c r="L44" s="1137">
        <v>0</v>
      </c>
      <c r="M44" s="1137">
        <v>0</v>
      </c>
      <c r="N44" s="1347">
        <v>0</v>
      </c>
      <c r="O44" s="1349">
        <f t="shared" si="17"/>
        <v>0</v>
      </c>
      <c r="P44" s="1252"/>
      <c r="Q44" s="1252"/>
      <c r="R44" s="1252"/>
      <c r="S44" s="1350">
        <f t="shared" si="22"/>
        <v>0</v>
      </c>
      <c r="T44" s="1351">
        <f t="shared" si="23"/>
        <v>0</v>
      </c>
      <c r="U44" s="660">
        <f t="shared" si="20"/>
        <v>0</v>
      </c>
      <c r="V44" s="1351">
        <f t="shared" si="24"/>
        <v>0</v>
      </c>
      <c r="W44" s="451">
        <f t="shared" si="18"/>
        <v>0</v>
      </c>
      <c r="X44" s="660">
        <f t="shared" si="19"/>
        <v>0</v>
      </c>
      <c r="Y44" s="1352"/>
      <c r="Z44" s="1348"/>
      <c r="AA44" s="1347"/>
      <c r="AB44" s="1348"/>
      <c r="AC44" s="1137"/>
      <c r="AD44" s="1347"/>
    </row>
    <row r="45" spans="1:30" s="293" customFormat="1" ht="15" hidden="1" customHeight="1">
      <c r="A45" s="1306"/>
      <c r="B45" s="1343"/>
      <c r="C45" s="1344"/>
      <c r="D45" s="1345"/>
      <c r="E45" s="1346"/>
      <c r="F45" s="1345"/>
      <c r="G45" s="1345"/>
      <c r="H45" s="1346"/>
      <c r="I45" s="1347">
        <f t="shared" si="21"/>
        <v>0</v>
      </c>
      <c r="J45" s="1348">
        <f t="shared" si="15"/>
        <v>0</v>
      </c>
      <c r="K45" s="1347">
        <f t="shared" si="16"/>
        <v>0</v>
      </c>
      <c r="L45" s="1137">
        <v>0</v>
      </c>
      <c r="M45" s="1137">
        <v>0</v>
      </c>
      <c r="N45" s="1347">
        <v>0</v>
      </c>
      <c r="O45" s="1349">
        <f t="shared" si="17"/>
        <v>0</v>
      </c>
      <c r="P45" s="1252"/>
      <c r="Q45" s="1252"/>
      <c r="R45" s="1252"/>
      <c r="S45" s="1350">
        <f t="shared" si="22"/>
        <v>0</v>
      </c>
      <c r="T45" s="1351">
        <f t="shared" si="23"/>
        <v>0</v>
      </c>
      <c r="U45" s="660">
        <f t="shared" si="20"/>
        <v>0</v>
      </c>
      <c r="V45" s="1351">
        <f t="shared" si="24"/>
        <v>0</v>
      </c>
      <c r="W45" s="451">
        <f t="shared" si="18"/>
        <v>0</v>
      </c>
      <c r="X45" s="660">
        <f t="shared" si="19"/>
        <v>0</v>
      </c>
      <c r="Y45" s="1352"/>
      <c r="Z45" s="1348"/>
      <c r="AA45" s="1347"/>
      <c r="AB45" s="1348"/>
      <c r="AC45" s="1137"/>
      <c r="AD45" s="1347"/>
    </row>
    <row r="46" spans="1:30" s="293" customFormat="1" ht="15" hidden="1" customHeight="1">
      <c r="A46" s="1306"/>
      <c r="B46" s="1343"/>
      <c r="C46" s="1344"/>
      <c r="D46" s="1345"/>
      <c r="E46" s="1346"/>
      <c r="F46" s="1345"/>
      <c r="G46" s="1345"/>
      <c r="H46" s="1346"/>
      <c r="I46" s="1347">
        <f t="shared" si="21"/>
        <v>0</v>
      </c>
      <c r="J46" s="1348">
        <f t="shared" si="15"/>
        <v>0</v>
      </c>
      <c r="K46" s="1347">
        <f t="shared" si="16"/>
        <v>0</v>
      </c>
      <c r="L46" s="1137">
        <v>0</v>
      </c>
      <c r="M46" s="1137">
        <v>0</v>
      </c>
      <c r="N46" s="1347">
        <v>0</v>
      </c>
      <c r="O46" s="1349">
        <f t="shared" si="17"/>
        <v>0</v>
      </c>
      <c r="P46" s="1252"/>
      <c r="Q46" s="1252"/>
      <c r="R46" s="1252"/>
      <c r="S46" s="1350">
        <f t="shared" si="22"/>
        <v>0</v>
      </c>
      <c r="T46" s="1351">
        <f t="shared" si="23"/>
        <v>0</v>
      </c>
      <c r="U46" s="660">
        <f t="shared" si="20"/>
        <v>0</v>
      </c>
      <c r="V46" s="1351">
        <f t="shared" si="24"/>
        <v>0</v>
      </c>
      <c r="W46" s="451">
        <f t="shared" si="18"/>
        <v>0</v>
      </c>
      <c r="X46" s="660">
        <f t="shared" si="19"/>
        <v>0</v>
      </c>
      <c r="Y46" s="1352"/>
      <c r="Z46" s="1348"/>
      <c r="AA46" s="1347"/>
      <c r="AB46" s="1348"/>
      <c r="AC46" s="1137"/>
      <c r="AD46" s="1347"/>
    </row>
    <row r="47" spans="1:30" s="293" customFormat="1" ht="15" hidden="1" customHeight="1">
      <c r="A47" s="1306"/>
      <c r="B47" s="1343"/>
      <c r="C47" s="1344"/>
      <c r="D47" s="1345"/>
      <c r="E47" s="1346"/>
      <c r="F47" s="1345"/>
      <c r="G47" s="1345"/>
      <c r="H47" s="1346"/>
      <c r="I47" s="1347">
        <f t="shared" si="21"/>
        <v>0</v>
      </c>
      <c r="J47" s="1348">
        <f t="shared" si="15"/>
        <v>0</v>
      </c>
      <c r="K47" s="1347">
        <f t="shared" si="16"/>
        <v>0</v>
      </c>
      <c r="L47" s="1137">
        <v>0</v>
      </c>
      <c r="M47" s="1137">
        <v>0</v>
      </c>
      <c r="N47" s="1347">
        <v>0</v>
      </c>
      <c r="O47" s="1349">
        <f t="shared" si="17"/>
        <v>0</v>
      </c>
      <c r="P47" s="1252"/>
      <c r="Q47" s="1252"/>
      <c r="R47" s="1252"/>
      <c r="S47" s="1350">
        <f t="shared" si="22"/>
        <v>0</v>
      </c>
      <c r="T47" s="1351">
        <f t="shared" si="23"/>
        <v>0</v>
      </c>
      <c r="U47" s="660">
        <f t="shared" si="20"/>
        <v>0</v>
      </c>
      <c r="V47" s="1351">
        <f t="shared" si="24"/>
        <v>0</v>
      </c>
      <c r="W47" s="451">
        <f t="shared" si="18"/>
        <v>0</v>
      </c>
      <c r="X47" s="660">
        <f t="shared" si="19"/>
        <v>0</v>
      </c>
      <c r="Y47" s="1352"/>
      <c r="Z47" s="1348"/>
      <c r="AA47" s="1347"/>
      <c r="AB47" s="1348"/>
      <c r="AC47" s="1137"/>
      <c r="AD47" s="1347"/>
    </row>
    <row r="48" spans="1:30" s="293" customFormat="1" ht="15" hidden="1" customHeight="1">
      <c r="A48" s="1306"/>
      <c r="B48" s="1343"/>
      <c r="C48" s="1344"/>
      <c r="D48" s="1345"/>
      <c r="E48" s="1346"/>
      <c r="F48" s="1345"/>
      <c r="G48" s="1345"/>
      <c r="H48" s="1346"/>
      <c r="I48" s="1347">
        <f t="shared" si="21"/>
        <v>0</v>
      </c>
      <c r="J48" s="1348">
        <f t="shared" si="15"/>
        <v>0</v>
      </c>
      <c r="K48" s="1347">
        <f t="shared" si="16"/>
        <v>0</v>
      </c>
      <c r="L48" s="1137">
        <v>0</v>
      </c>
      <c r="M48" s="1137">
        <v>0</v>
      </c>
      <c r="N48" s="1347">
        <v>0</v>
      </c>
      <c r="O48" s="1349">
        <f t="shared" si="17"/>
        <v>0</v>
      </c>
      <c r="P48" s="1252"/>
      <c r="Q48" s="1252"/>
      <c r="R48" s="1252"/>
      <c r="S48" s="1350">
        <f t="shared" si="22"/>
        <v>0</v>
      </c>
      <c r="T48" s="1351">
        <f t="shared" si="23"/>
        <v>0</v>
      </c>
      <c r="U48" s="660">
        <f t="shared" si="20"/>
        <v>0</v>
      </c>
      <c r="V48" s="1351">
        <f t="shared" si="24"/>
        <v>0</v>
      </c>
      <c r="W48" s="451">
        <f t="shared" si="18"/>
        <v>0</v>
      </c>
      <c r="X48" s="660">
        <f t="shared" si="19"/>
        <v>0</v>
      </c>
      <c r="Y48" s="1352"/>
      <c r="Z48" s="1348"/>
      <c r="AA48" s="1347"/>
      <c r="AB48" s="1348"/>
      <c r="AC48" s="1137"/>
      <c r="AD48" s="1347"/>
    </row>
    <row r="49" spans="1:30" s="293" customFormat="1" ht="15" hidden="1" customHeight="1">
      <c r="A49" s="1306"/>
      <c r="B49" s="1343"/>
      <c r="C49" s="1344"/>
      <c r="D49" s="1345"/>
      <c r="E49" s="1346"/>
      <c r="F49" s="1345"/>
      <c r="G49" s="1345"/>
      <c r="H49" s="1346"/>
      <c r="I49" s="1347">
        <f t="shared" si="21"/>
        <v>0</v>
      </c>
      <c r="J49" s="1348">
        <f t="shared" si="15"/>
        <v>0</v>
      </c>
      <c r="K49" s="1347">
        <f t="shared" si="16"/>
        <v>0</v>
      </c>
      <c r="L49" s="1137">
        <v>0</v>
      </c>
      <c r="M49" s="1137">
        <v>0</v>
      </c>
      <c r="N49" s="1347">
        <v>0</v>
      </c>
      <c r="O49" s="1349">
        <f t="shared" si="17"/>
        <v>0</v>
      </c>
      <c r="P49" s="1252"/>
      <c r="Q49" s="1252"/>
      <c r="R49" s="1252"/>
      <c r="S49" s="1350">
        <f t="shared" si="22"/>
        <v>0</v>
      </c>
      <c r="T49" s="1351">
        <f t="shared" si="23"/>
        <v>0</v>
      </c>
      <c r="U49" s="660">
        <f t="shared" si="20"/>
        <v>0</v>
      </c>
      <c r="V49" s="1351">
        <f t="shared" si="24"/>
        <v>0</v>
      </c>
      <c r="W49" s="451">
        <f t="shared" si="18"/>
        <v>0</v>
      </c>
      <c r="X49" s="660">
        <f t="shared" si="19"/>
        <v>0</v>
      </c>
      <c r="Y49" s="1352"/>
      <c r="Z49" s="1348"/>
      <c r="AA49" s="1347"/>
      <c r="AB49" s="1348"/>
      <c r="AC49" s="1137"/>
      <c r="AD49" s="1347"/>
    </row>
    <row r="50" spans="1:30" s="293" customFormat="1" ht="15" hidden="1" customHeight="1">
      <c r="A50" s="1306"/>
      <c r="B50" s="1343"/>
      <c r="C50" s="1344"/>
      <c r="D50" s="1345"/>
      <c r="E50" s="1346"/>
      <c r="F50" s="1345"/>
      <c r="G50" s="1345"/>
      <c r="H50" s="1346"/>
      <c r="I50" s="1347">
        <f t="shared" si="21"/>
        <v>0</v>
      </c>
      <c r="J50" s="1348">
        <f t="shared" si="15"/>
        <v>0</v>
      </c>
      <c r="K50" s="1347">
        <f t="shared" si="16"/>
        <v>0</v>
      </c>
      <c r="L50" s="1137">
        <v>0</v>
      </c>
      <c r="M50" s="1137">
        <v>0</v>
      </c>
      <c r="N50" s="1347">
        <v>0</v>
      </c>
      <c r="O50" s="1349">
        <f t="shared" si="17"/>
        <v>0</v>
      </c>
      <c r="P50" s="1252"/>
      <c r="Q50" s="1252"/>
      <c r="R50" s="1252"/>
      <c r="S50" s="1350">
        <f t="shared" si="22"/>
        <v>0</v>
      </c>
      <c r="T50" s="1351">
        <f t="shared" si="23"/>
        <v>0</v>
      </c>
      <c r="U50" s="660">
        <f t="shared" si="20"/>
        <v>0</v>
      </c>
      <c r="V50" s="1351">
        <f t="shared" si="24"/>
        <v>0</v>
      </c>
      <c r="W50" s="451">
        <f t="shared" si="18"/>
        <v>0</v>
      </c>
      <c r="X50" s="660">
        <f t="shared" si="19"/>
        <v>0</v>
      </c>
      <c r="Y50" s="1352"/>
      <c r="Z50" s="1348"/>
      <c r="AA50" s="1347"/>
      <c r="AB50" s="1348"/>
      <c r="AC50" s="1137"/>
      <c r="AD50" s="1347"/>
    </row>
    <row r="51" spans="1:30" s="293" customFormat="1" ht="15" hidden="1" customHeight="1">
      <c r="A51" s="1306"/>
      <c r="B51" s="1343"/>
      <c r="C51" s="1344"/>
      <c r="D51" s="1345"/>
      <c r="E51" s="1346"/>
      <c r="F51" s="1345"/>
      <c r="G51" s="1345"/>
      <c r="H51" s="1346"/>
      <c r="I51" s="1347">
        <f t="shared" si="21"/>
        <v>0</v>
      </c>
      <c r="J51" s="1348">
        <f t="shared" si="15"/>
        <v>0</v>
      </c>
      <c r="K51" s="1347">
        <f t="shared" si="16"/>
        <v>0</v>
      </c>
      <c r="L51" s="1137">
        <v>0</v>
      </c>
      <c r="M51" s="1137">
        <v>0</v>
      </c>
      <c r="N51" s="1347">
        <v>0</v>
      </c>
      <c r="O51" s="1349">
        <f t="shared" si="17"/>
        <v>0</v>
      </c>
      <c r="P51" s="1252"/>
      <c r="Q51" s="1252"/>
      <c r="R51" s="1252"/>
      <c r="S51" s="1350">
        <f t="shared" si="22"/>
        <v>0</v>
      </c>
      <c r="T51" s="1351">
        <f t="shared" si="23"/>
        <v>0</v>
      </c>
      <c r="U51" s="660">
        <f t="shared" si="20"/>
        <v>0</v>
      </c>
      <c r="V51" s="1351">
        <f t="shared" si="24"/>
        <v>0</v>
      </c>
      <c r="W51" s="451">
        <f t="shared" si="18"/>
        <v>0</v>
      </c>
      <c r="X51" s="660">
        <f t="shared" si="19"/>
        <v>0</v>
      </c>
      <c r="Y51" s="1352"/>
      <c r="Z51" s="1348"/>
      <c r="AA51" s="1347"/>
      <c r="AB51" s="1348"/>
      <c r="AC51" s="1137"/>
      <c r="AD51" s="1347"/>
    </row>
    <row r="52" spans="1:30" s="293" customFormat="1" ht="15" hidden="1" customHeight="1">
      <c r="A52" s="1306"/>
      <c r="B52" s="1343"/>
      <c r="C52" s="1344"/>
      <c r="D52" s="1345"/>
      <c r="E52" s="1346"/>
      <c r="F52" s="1345"/>
      <c r="G52" s="1345"/>
      <c r="H52" s="1346"/>
      <c r="I52" s="1347">
        <f t="shared" si="21"/>
        <v>0</v>
      </c>
      <c r="J52" s="1348">
        <f t="shared" si="15"/>
        <v>0</v>
      </c>
      <c r="K52" s="1347">
        <f t="shared" si="16"/>
        <v>0</v>
      </c>
      <c r="L52" s="1137">
        <v>0</v>
      </c>
      <c r="M52" s="1137">
        <v>0</v>
      </c>
      <c r="N52" s="1347">
        <v>0</v>
      </c>
      <c r="O52" s="1349">
        <f t="shared" si="17"/>
        <v>0</v>
      </c>
      <c r="P52" s="1252"/>
      <c r="Q52" s="1252"/>
      <c r="R52" s="1252"/>
      <c r="S52" s="1350">
        <f t="shared" si="22"/>
        <v>0</v>
      </c>
      <c r="T52" s="1351">
        <f t="shared" si="23"/>
        <v>0</v>
      </c>
      <c r="U52" s="660">
        <f t="shared" si="20"/>
        <v>0</v>
      </c>
      <c r="V52" s="1351">
        <f t="shared" si="24"/>
        <v>0</v>
      </c>
      <c r="W52" s="451">
        <f t="shared" si="18"/>
        <v>0</v>
      </c>
      <c r="X52" s="660">
        <f t="shared" si="19"/>
        <v>0</v>
      </c>
      <c r="Y52" s="1352"/>
      <c r="Z52" s="1348"/>
      <c r="AA52" s="1347"/>
      <c r="AB52" s="1348"/>
      <c r="AC52" s="1137"/>
      <c r="AD52" s="1347"/>
    </row>
    <row r="53" spans="1:30" s="293" customFormat="1" ht="15" customHeight="1">
      <c r="A53" s="1306"/>
      <c r="B53" s="1369" t="s">
        <v>984</v>
      </c>
      <c r="C53" s="1344"/>
      <c r="D53" s="1345"/>
      <c r="E53" s="1346"/>
      <c r="F53" s="1345"/>
      <c r="G53" s="1345"/>
      <c r="H53" s="1346"/>
      <c r="I53" s="1347"/>
      <c r="J53" s="1348"/>
      <c r="K53" s="1347"/>
      <c r="L53" s="1137"/>
      <c r="M53" s="1137"/>
      <c r="N53" s="1347"/>
      <c r="O53" s="1349"/>
      <c r="P53" s="1252"/>
      <c r="Q53" s="1252"/>
      <c r="R53" s="1252"/>
      <c r="S53" s="1351">
        <v>6350000</v>
      </c>
      <c r="T53" s="634">
        <v>5000000</v>
      </c>
      <c r="U53" s="660">
        <v>1350000</v>
      </c>
      <c r="V53" s="1351">
        <v>6350000</v>
      </c>
      <c r="W53" s="451"/>
      <c r="X53" s="660"/>
      <c r="Y53" s="1352">
        <v>0</v>
      </c>
      <c r="Z53" s="1348">
        <v>0</v>
      </c>
      <c r="AA53" s="1347">
        <v>0</v>
      </c>
      <c r="AB53" s="1348">
        <v>0</v>
      </c>
      <c r="AC53" s="1137">
        <v>0</v>
      </c>
      <c r="AD53" s="1347">
        <v>0</v>
      </c>
    </row>
    <row r="54" spans="1:30" s="293" customFormat="1" ht="15" customHeight="1">
      <c r="A54" s="1306"/>
      <c r="B54" s="1369" t="s">
        <v>985</v>
      </c>
      <c r="C54" s="1344"/>
      <c r="D54" s="1345"/>
      <c r="E54" s="1346"/>
      <c r="F54" s="1345"/>
      <c r="G54" s="1345"/>
      <c r="H54" s="1346"/>
      <c r="I54" s="1347"/>
      <c r="J54" s="1348"/>
      <c r="K54" s="1347"/>
      <c r="L54" s="1137"/>
      <c r="M54" s="1137"/>
      <c r="N54" s="1347"/>
      <c r="O54" s="1349"/>
      <c r="P54" s="1252"/>
      <c r="Q54" s="1252"/>
      <c r="R54" s="1252"/>
      <c r="S54" s="1350">
        <v>1016000</v>
      </c>
      <c r="T54" s="1351">
        <v>800000</v>
      </c>
      <c r="U54" s="660">
        <v>216000</v>
      </c>
      <c r="V54" s="1351">
        <v>1016000</v>
      </c>
      <c r="W54" s="451"/>
      <c r="X54" s="660"/>
      <c r="Y54" s="1352">
        <v>0</v>
      </c>
      <c r="Z54" s="1348">
        <v>0</v>
      </c>
      <c r="AA54" s="1347">
        <v>0</v>
      </c>
      <c r="AB54" s="1348">
        <v>0</v>
      </c>
      <c r="AC54" s="1137">
        <v>0</v>
      </c>
      <c r="AD54" s="1347">
        <v>0</v>
      </c>
    </row>
    <row r="55" spans="1:30" s="293" customFormat="1" ht="15.75" customHeight="1">
      <c r="A55" s="1306"/>
      <c r="B55" s="1343"/>
      <c r="C55" s="1344"/>
      <c r="D55" s="1345"/>
      <c r="E55" s="1346"/>
      <c r="F55" s="1345"/>
      <c r="G55" s="1345"/>
      <c r="H55" s="1346"/>
      <c r="I55" s="1353"/>
      <c r="J55" s="1354"/>
      <c r="K55" s="1355"/>
      <c r="L55" s="304"/>
      <c r="M55" s="294"/>
      <c r="N55" s="1356"/>
      <c r="O55" s="1357"/>
      <c r="P55" s="1358"/>
      <c r="Q55" s="1359"/>
      <c r="R55" s="1359"/>
      <c r="S55" s="1360"/>
      <c r="T55" s="1361"/>
      <c r="U55" s="1362"/>
      <c r="V55" s="1363"/>
      <c r="W55" s="1364"/>
      <c r="X55" s="1365"/>
      <c r="Y55" s="1366"/>
      <c r="Z55" s="1367"/>
      <c r="AA55" s="1355"/>
      <c r="AB55" s="1368"/>
      <c r="AC55" s="294"/>
      <c r="AD55" s="1356"/>
    </row>
    <row r="56" spans="1:30" s="293" customFormat="1" ht="13.5" customHeight="1">
      <c r="A56" s="1328" t="s">
        <v>228</v>
      </c>
      <c r="B56" s="1329"/>
      <c r="C56" s="1330">
        <f t="shared" ref="C56:H56" si="25">C57</f>
        <v>38735000</v>
      </c>
      <c r="D56" s="1331">
        <f t="shared" si="25"/>
        <v>30500000</v>
      </c>
      <c r="E56" s="1332">
        <f t="shared" si="25"/>
        <v>8235000</v>
      </c>
      <c r="F56" s="1331">
        <f t="shared" si="25"/>
        <v>38735000</v>
      </c>
      <c r="G56" s="1331">
        <f t="shared" si="25"/>
        <v>0</v>
      </c>
      <c r="H56" s="1332">
        <f t="shared" si="25"/>
        <v>0</v>
      </c>
      <c r="I56" s="1333">
        <f t="shared" ref="I56:AD56" si="26">SUM(I57:I64)</f>
        <v>38735000</v>
      </c>
      <c r="J56" s="1334">
        <f t="shared" si="26"/>
        <v>30500000</v>
      </c>
      <c r="K56" s="1333">
        <f t="shared" si="26"/>
        <v>8235000</v>
      </c>
      <c r="L56" s="1335">
        <f t="shared" si="26"/>
        <v>38735000</v>
      </c>
      <c r="M56" s="1335">
        <f t="shared" si="26"/>
        <v>0</v>
      </c>
      <c r="N56" s="1333">
        <f t="shared" si="26"/>
        <v>0</v>
      </c>
      <c r="O56" s="1336">
        <f t="shared" si="26"/>
        <v>0</v>
      </c>
      <c r="P56" s="1337">
        <f t="shared" si="26"/>
        <v>0</v>
      </c>
      <c r="Q56" s="1337">
        <f t="shared" si="26"/>
        <v>0</v>
      </c>
      <c r="R56" s="1337">
        <f t="shared" si="26"/>
        <v>0</v>
      </c>
      <c r="S56" s="1338">
        <f t="shared" si="26"/>
        <v>26392653</v>
      </c>
      <c r="T56" s="1339">
        <f t="shared" si="26"/>
        <v>20781617</v>
      </c>
      <c r="U56" s="1340">
        <f t="shared" si="26"/>
        <v>5611036</v>
      </c>
      <c r="V56" s="1339">
        <f t="shared" si="26"/>
        <v>26392653</v>
      </c>
      <c r="W56" s="1341">
        <f t="shared" si="26"/>
        <v>0</v>
      </c>
      <c r="X56" s="1340">
        <f t="shared" si="26"/>
        <v>0</v>
      </c>
      <c r="Y56" s="1342">
        <f t="shared" si="26"/>
        <v>26392653</v>
      </c>
      <c r="Z56" s="1334">
        <f t="shared" si="26"/>
        <v>20781617</v>
      </c>
      <c r="AA56" s="1333">
        <f t="shared" si="26"/>
        <v>5611036</v>
      </c>
      <c r="AB56" s="1334">
        <f t="shared" si="26"/>
        <v>26392653</v>
      </c>
      <c r="AC56" s="1335">
        <f t="shared" si="26"/>
        <v>0</v>
      </c>
      <c r="AD56" s="1333">
        <f t="shared" si="26"/>
        <v>0</v>
      </c>
    </row>
    <row r="57" spans="1:30" s="293" customFormat="1" ht="27.75" customHeight="1">
      <c r="A57" s="1370"/>
      <c r="B57" s="1343" t="s">
        <v>986</v>
      </c>
      <c r="C57" s="1344">
        <f>D57+E57</f>
        <v>38735000</v>
      </c>
      <c r="D57" s="1345">
        <v>30500000</v>
      </c>
      <c r="E57" s="1346">
        <v>8235000</v>
      </c>
      <c r="F57" s="1345">
        <v>38735000</v>
      </c>
      <c r="G57" s="1345">
        <v>0</v>
      </c>
      <c r="H57" s="1346">
        <v>0</v>
      </c>
      <c r="I57" s="1347">
        <f>SUM(L57:N57)</f>
        <v>38735000</v>
      </c>
      <c r="J57" s="1348">
        <f t="shared" ref="J57:J63" si="27">SUM(I57)/1.27</f>
        <v>30500000</v>
      </c>
      <c r="K57" s="1347">
        <f t="shared" ref="K57:K63" si="28">SUM(J57)*0.27</f>
        <v>8235000</v>
      </c>
      <c r="L57" s="1137">
        <v>38735000</v>
      </c>
      <c r="M57" s="1137">
        <v>0</v>
      </c>
      <c r="N57" s="1347">
        <v>0</v>
      </c>
      <c r="O57" s="1349">
        <f t="shared" ref="O57:O63" si="29">SUM(P57:R57)</f>
        <v>0</v>
      </c>
      <c r="P57" s="1252"/>
      <c r="Q57" s="1252"/>
      <c r="R57" s="1252"/>
      <c r="S57" s="1350">
        <f t="shared" ref="S57:S63" si="30">SUM(V57:X57)</f>
        <v>26392653</v>
      </c>
      <c r="T57" s="1351">
        <f>SUM(S57)/1.27</f>
        <v>20781617</v>
      </c>
      <c r="U57" s="660">
        <f>SUM(T57)*0.27-1</f>
        <v>5611036</v>
      </c>
      <c r="V57" s="1351">
        <v>26392653</v>
      </c>
      <c r="W57" s="451">
        <f t="shared" ref="W57:X63" si="31">SUM(M57+Q57)</f>
        <v>0</v>
      </c>
      <c r="X57" s="660">
        <f t="shared" si="31"/>
        <v>0</v>
      </c>
      <c r="Y57" s="1347">
        <v>26392653</v>
      </c>
      <c r="Z57" s="1348">
        <v>20781617</v>
      </c>
      <c r="AA57" s="1347">
        <v>5611036</v>
      </c>
      <c r="AB57" s="1137">
        <v>26392653</v>
      </c>
      <c r="AC57" s="1137">
        <v>0</v>
      </c>
      <c r="AD57" s="1347">
        <v>0</v>
      </c>
    </row>
    <row r="58" spans="1:30" s="293" customFormat="1" ht="13.5" customHeight="1">
      <c r="A58" s="1306"/>
      <c r="B58" s="1343"/>
      <c r="C58" s="1344"/>
      <c r="D58" s="1345"/>
      <c r="E58" s="1346"/>
      <c r="F58" s="1345"/>
      <c r="G58" s="1345"/>
      <c r="H58" s="1346"/>
      <c r="I58" s="1347">
        <f>SUM(L58:N58)</f>
        <v>0</v>
      </c>
      <c r="J58" s="1348">
        <f t="shared" si="27"/>
        <v>0</v>
      </c>
      <c r="K58" s="1347">
        <f t="shared" si="28"/>
        <v>0</v>
      </c>
      <c r="L58" s="1137"/>
      <c r="M58" s="1137">
        <v>0</v>
      </c>
      <c r="N58" s="1347">
        <v>0</v>
      </c>
      <c r="O58" s="1349">
        <f t="shared" si="29"/>
        <v>0</v>
      </c>
      <c r="P58" s="1252"/>
      <c r="Q58" s="1252"/>
      <c r="R58" s="1252"/>
      <c r="S58" s="1350">
        <f t="shared" si="30"/>
        <v>0</v>
      </c>
      <c r="T58" s="1351">
        <f>SUM(S58)/1.27</f>
        <v>0</v>
      </c>
      <c r="U58" s="660">
        <f>SUM(T58)*0.27</f>
        <v>0</v>
      </c>
      <c r="V58" s="1351">
        <f t="shared" ref="V58:V63" si="32">SUM(L58+P58)</f>
        <v>0</v>
      </c>
      <c r="W58" s="451">
        <f t="shared" si="31"/>
        <v>0</v>
      </c>
      <c r="X58" s="660">
        <f t="shared" si="31"/>
        <v>0</v>
      </c>
      <c r="Y58" s="1352"/>
      <c r="Z58" s="1348"/>
      <c r="AA58" s="1347"/>
      <c r="AB58" s="1348"/>
      <c r="AC58" s="1137"/>
      <c r="AD58" s="1347"/>
    </row>
    <row r="59" spans="1:30" s="293" customFormat="1" ht="13.5" customHeight="1">
      <c r="A59" s="1306"/>
      <c r="B59" s="1343"/>
      <c r="C59" s="1344"/>
      <c r="D59" s="1345"/>
      <c r="E59" s="1346"/>
      <c r="F59" s="1345"/>
      <c r="G59" s="1345"/>
      <c r="H59" s="1346"/>
      <c r="I59" s="1347">
        <f>SUM(L59:N59)</f>
        <v>0</v>
      </c>
      <c r="J59" s="1348">
        <f t="shared" si="27"/>
        <v>0</v>
      </c>
      <c r="K59" s="1347">
        <f t="shared" si="28"/>
        <v>0</v>
      </c>
      <c r="L59" s="1137"/>
      <c r="M59" s="1137">
        <v>0</v>
      </c>
      <c r="N59" s="1347">
        <v>0</v>
      </c>
      <c r="O59" s="1349">
        <f t="shared" si="29"/>
        <v>0</v>
      </c>
      <c r="P59" s="1252"/>
      <c r="Q59" s="1252"/>
      <c r="R59" s="1252"/>
      <c r="S59" s="1350">
        <f t="shared" si="30"/>
        <v>0</v>
      </c>
      <c r="T59" s="1351">
        <f>SUM(S59)/1.27</f>
        <v>0</v>
      </c>
      <c r="U59" s="660">
        <f>SUM(T59)*0.27</f>
        <v>0</v>
      </c>
      <c r="V59" s="1351">
        <f t="shared" si="32"/>
        <v>0</v>
      </c>
      <c r="W59" s="451">
        <f t="shared" si="31"/>
        <v>0</v>
      </c>
      <c r="X59" s="660">
        <f t="shared" si="31"/>
        <v>0</v>
      </c>
      <c r="Y59" s="1352"/>
      <c r="Z59" s="1348"/>
      <c r="AA59" s="1347"/>
      <c r="AB59" s="1348"/>
      <c r="AC59" s="1137"/>
      <c r="AD59" s="1347"/>
    </row>
    <row r="60" spans="1:30" s="293" customFormat="1" ht="13.5" customHeight="1">
      <c r="A60" s="1306"/>
      <c r="B60" s="1343"/>
      <c r="C60" s="1344"/>
      <c r="D60" s="1345"/>
      <c r="E60" s="1346"/>
      <c r="F60" s="1345"/>
      <c r="G60" s="1345"/>
      <c r="H60" s="1346"/>
      <c r="I60" s="1347">
        <f>SUM(L60:N60)</f>
        <v>0</v>
      </c>
      <c r="J60" s="1348">
        <f t="shared" si="27"/>
        <v>0</v>
      </c>
      <c r="K60" s="1347">
        <f t="shared" si="28"/>
        <v>0</v>
      </c>
      <c r="L60" s="1137"/>
      <c r="M60" s="1137">
        <v>0</v>
      </c>
      <c r="N60" s="1347">
        <v>0</v>
      </c>
      <c r="O60" s="1349">
        <f t="shared" si="29"/>
        <v>0</v>
      </c>
      <c r="P60" s="1252"/>
      <c r="Q60" s="1252"/>
      <c r="R60" s="1252"/>
      <c r="S60" s="1350">
        <f t="shared" si="30"/>
        <v>0</v>
      </c>
      <c r="T60" s="1351">
        <f>SUM(S60)/1.27</f>
        <v>0</v>
      </c>
      <c r="U60" s="660">
        <f>SUM(T60)*0.27</f>
        <v>0</v>
      </c>
      <c r="V60" s="1351">
        <f t="shared" si="32"/>
        <v>0</v>
      </c>
      <c r="W60" s="451">
        <f t="shared" si="31"/>
        <v>0</v>
      </c>
      <c r="X60" s="660">
        <f t="shared" si="31"/>
        <v>0</v>
      </c>
      <c r="Y60" s="1352"/>
      <c r="Z60" s="1348"/>
      <c r="AA60" s="1347"/>
      <c r="AB60" s="1348"/>
      <c r="AC60" s="1137"/>
      <c r="AD60" s="1347"/>
    </row>
    <row r="61" spans="1:30" s="293" customFormat="1" ht="13.5" customHeight="1">
      <c r="A61" s="1306"/>
      <c r="B61" s="1343"/>
      <c r="C61" s="1344"/>
      <c r="D61" s="1345"/>
      <c r="E61" s="1346"/>
      <c r="F61" s="1345"/>
      <c r="G61" s="1345"/>
      <c r="H61" s="1346"/>
      <c r="I61" s="1347">
        <f>SUM(L61:N61)</f>
        <v>0</v>
      </c>
      <c r="J61" s="1348">
        <f t="shared" si="27"/>
        <v>0</v>
      </c>
      <c r="K61" s="1347">
        <f t="shared" si="28"/>
        <v>0</v>
      </c>
      <c r="L61" s="1137"/>
      <c r="M61" s="1137">
        <v>0</v>
      </c>
      <c r="N61" s="1347">
        <v>0</v>
      </c>
      <c r="O61" s="1349">
        <f t="shared" si="29"/>
        <v>0</v>
      </c>
      <c r="P61" s="1252"/>
      <c r="Q61" s="1252"/>
      <c r="R61" s="1252"/>
      <c r="S61" s="1350">
        <f t="shared" si="30"/>
        <v>0</v>
      </c>
      <c r="T61" s="1351">
        <f>SUM(S61)/1.27</f>
        <v>0</v>
      </c>
      <c r="U61" s="660">
        <f>SUM(T61)*0.27</f>
        <v>0</v>
      </c>
      <c r="V61" s="1351">
        <f t="shared" si="32"/>
        <v>0</v>
      </c>
      <c r="W61" s="451">
        <f t="shared" si="31"/>
        <v>0</v>
      </c>
      <c r="X61" s="660">
        <f t="shared" si="31"/>
        <v>0</v>
      </c>
      <c r="Y61" s="1352"/>
      <c r="Z61" s="1348"/>
      <c r="AA61" s="1347"/>
      <c r="AB61" s="1348"/>
      <c r="AC61" s="1137"/>
      <c r="AD61" s="1347"/>
    </row>
    <row r="62" spans="1:30" s="293" customFormat="1" ht="13.5" customHeight="1">
      <c r="A62" s="1306"/>
      <c r="B62" s="1343"/>
      <c r="C62" s="1344"/>
      <c r="D62" s="1345"/>
      <c r="E62" s="1346"/>
      <c r="F62" s="1345"/>
      <c r="G62" s="1345"/>
      <c r="H62" s="1346"/>
      <c r="I62" s="1347">
        <f>SUM(L62:P62)</f>
        <v>0</v>
      </c>
      <c r="J62" s="1348">
        <f t="shared" si="27"/>
        <v>0</v>
      </c>
      <c r="K62" s="1347">
        <f t="shared" si="28"/>
        <v>0</v>
      </c>
      <c r="L62" s="1137">
        <v>0</v>
      </c>
      <c r="M62" s="1137">
        <v>0</v>
      </c>
      <c r="N62" s="1347">
        <v>0</v>
      </c>
      <c r="O62" s="1349">
        <f t="shared" si="29"/>
        <v>0</v>
      </c>
      <c r="P62" s="1252"/>
      <c r="Q62" s="1252"/>
      <c r="R62" s="1252"/>
      <c r="S62" s="1350">
        <f t="shared" si="30"/>
        <v>0</v>
      </c>
      <c r="T62" s="1351">
        <f>SUM(S62)/1.25</f>
        <v>0</v>
      </c>
      <c r="U62" s="660">
        <f>SUM(T62)*0.25</f>
        <v>0</v>
      </c>
      <c r="V62" s="1351">
        <f t="shared" si="32"/>
        <v>0</v>
      </c>
      <c r="W62" s="451">
        <f t="shared" si="31"/>
        <v>0</v>
      </c>
      <c r="X62" s="660">
        <f t="shared" si="31"/>
        <v>0</v>
      </c>
      <c r="Y62" s="1352"/>
      <c r="Z62" s="1348"/>
      <c r="AA62" s="1347"/>
      <c r="AB62" s="1348"/>
      <c r="AC62" s="1137"/>
      <c r="AD62" s="1347"/>
    </row>
    <row r="63" spans="1:30" s="293" customFormat="1" ht="13.5" customHeight="1">
      <c r="A63" s="1306"/>
      <c r="B63" s="1343"/>
      <c r="C63" s="1344"/>
      <c r="D63" s="1345"/>
      <c r="E63" s="1346"/>
      <c r="F63" s="1345"/>
      <c r="G63" s="1345"/>
      <c r="H63" s="1346"/>
      <c r="I63" s="1347">
        <f>SUM(L63:P63)</f>
        <v>0</v>
      </c>
      <c r="J63" s="1348">
        <f t="shared" si="27"/>
        <v>0</v>
      </c>
      <c r="K63" s="1347">
        <f t="shared" si="28"/>
        <v>0</v>
      </c>
      <c r="L63" s="1137">
        <v>0</v>
      </c>
      <c r="M63" s="1137">
        <v>0</v>
      </c>
      <c r="N63" s="1347">
        <v>0</v>
      </c>
      <c r="O63" s="1349">
        <f t="shared" si="29"/>
        <v>0</v>
      </c>
      <c r="P63" s="1252"/>
      <c r="Q63" s="1252"/>
      <c r="R63" s="1252"/>
      <c r="S63" s="1350">
        <f t="shared" si="30"/>
        <v>0</v>
      </c>
      <c r="T63" s="1351">
        <f>SUM(S63)/1.25</f>
        <v>0</v>
      </c>
      <c r="U63" s="660">
        <f>SUM(T63)*0.25</f>
        <v>0</v>
      </c>
      <c r="V63" s="1351">
        <f t="shared" si="32"/>
        <v>0</v>
      </c>
      <c r="W63" s="451">
        <f t="shared" si="31"/>
        <v>0</v>
      </c>
      <c r="X63" s="660">
        <f t="shared" si="31"/>
        <v>0</v>
      </c>
      <c r="Y63" s="1352"/>
      <c r="Z63" s="1348"/>
      <c r="AA63" s="1347"/>
      <c r="AB63" s="1348"/>
      <c r="AC63" s="1137"/>
      <c r="AD63" s="1347"/>
    </row>
    <row r="64" spans="1:30" s="293" customFormat="1" ht="13.5" customHeight="1">
      <c r="A64" s="1371"/>
      <c r="B64" s="1343"/>
      <c r="C64" s="1344"/>
      <c r="D64" s="1345"/>
      <c r="E64" s="1346"/>
      <c r="F64" s="1345"/>
      <c r="G64" s="1345"/>
      <c r="H64" s="1346"/>
      <c r="I64" s="660"/>
      <c r="J64" s="1351"/>
      <c r="K64" s="660"/>
      <c r="L64" s="451"/>
      <c r="M64" s="451"/>
      <c r="N64" s="660"/>
      <c r="O64" s="1372"/>
      <c r="P64" s="451"/>
      <c r="Q64" s="451"/>
      <c r="R64" s="451"/>
      <c r="S64" s="1350"/>
      <c r="T64" s="1351"/>
      <c r="U64" s="660"/>
      <c r="V64" s="1351"/>
      <c r="W64" s="451"/>
      <c r="X64" s="660"/>
      <c r="Y64" s="1350"/>
      <c r="Z64" s="1351"/>
      <c r="AA64" s="660"/>
      <c r="AB64" s="1351"/>
      <c r="AC64" s="451"/>
      <c r="AD64" s="660"/>
    </row>
    <row r="65" spans="1:30" s="293" customFormat="1" ht="15" customHeight="1">
      <c r="A65" s="1328" t="s">
        <v>179</v>
      </c>
      <c r="B65" s="1329"/>
      <c r="C65" s="1330">
        <f t="shared" ref="C65:AD65" si="33">SUM(C66:C81)</f>
        <v>65674000</v>
      </c>
      <c r="D65" s="1331">
        <f t="shared" si="33"/>
        <v>51712000</v>
      </c>
      <c r="E65" s="1332">
        <f t="shared" si="33"/>
        <v>13962000</v>
      </c>
      <c r="F65" s="1331">
        <f t="shared" si="33"/>
        <v>65674000</v>
      </c>
      <c r="G65" s="1331">
        <f t="shared" si="33"/>
        <v>0</v>
      </c>
      <c r="H65" s="1332">
        <f t="shared" si="33"/>
        <v>0</v>
      </c>
      <c r="I65" s="1333">
        <f t="shared" si="33"/>
        <v>79465000</v>
      </c>
      <c r="J65" s="1334">
        <f t="shared" si="33"/>
        <v>62872531</v>
      </c>
      <c r="K65" s="1333">
        <f t="shared" si="33"/>
        <v>16592469</v>
      </c>
      <c r="L65" s="1335">
        <f t="shared" si="33"/>
        <v>79465000</v>
      </c>
      <c r="M65" s="1335">
        <f t="shared" si="33"/>
        <v>0</v>
      </c>
      <c r="N65" s="1333">
        <f t="shared" si="33"/>
        <v>0</v>
      </c>
      <c r="O65" s="1336">
        <f t="shared" si="33"/>
        <v>5994794</v>
      </c>
      <c r="P65" s="1337">
        <f t="shared" si="33"/>
        <v>5994794</v>
      </c>
      <c r="Q65" s="1337">
        <f t="shared" si="33"/>
        <v>0</v>
      </c>
      <c r="R65" s="1337">
        <f t="shared" si="33"/>
        <v>0</v>
      </c>
      <c r="S65" s="1338">
        <f t="shared" si="33"/>
        <v>89459794</v>
      </c>
      <c r="T65" s="1338">
        <f t="shared" si="33"/>
        <v>70742447</v>
      </c>
      <c r="U65" s="1338">
        <f t="shared" si="33"/>
        <v>18717347</v>
      </c>
      <c r="V65" s="1339">
        <f t="shared" si="33"/>
        <v>89459794</v>
      </c>
      <c r="W65" s="1341">
        <f t="shared" si="33"/>
        <v>0</v>
      </c>
      <c r="X65" s="1340">
        <f t="shared" si="33"/>
        <v>0</v>
      </c>
      <c r="Y65" s="1373">
        <f t="shared" si="33"/>
        <v>72935572</v>
      </c>
      <c r="Z65" s="1374">
        <f t="shared" si="33"/>
        <v>57731058</v>
      </c>
      <c r="AA65" s="1375">
        <f t="shared" si="33"/>
        <v>15204514</v>
      </c>
      <c r="AB65" s="1374">
        <f t="shared" si="33"/>
        <v>72935572</v>
      </c>
      <c r="AC65" s="1335">
        <f t="shared" si="33"/>
        <v>0</v>
      </c>
      <c r="AD65" s="1333">
        <f t="shared" si="33"/>
        <v>0</v>
      </c>
    </row>
    <row r="66" spans="1:30" s="293" customFormat="1" ht="15" customHeight="1">
      <c r="A66" s="1376"/>
      <c r="B66" s="1377" t="s">
        <v>987</v>
      </c>
      <c r="C66" s="1378">
        <f t="shared" ref="C66:C78" si="34">D66+E66</f>
        <v>584000</v>
      </c>
      <c r="D66" s="348">
        <v>460000</v>
      </c>
      <c r="E66" s="1379">
        <v>124000</v>
      </c>
      <c r="F66" s="348">
        <v>584000</v>
      </c>
      <c r="G66" s="348">
        <v>0</v>
      </c>
      <c r="H66" s="1379">
        <v>0</v>
      </c>
      <c r="I66" s="1347">
        <f t="shared" ref="I66:I78" si="35">SUM(L66:N66)</f>
        <v>584000</v>
      </c>
      <c r="J66" s="1348">
        <v>460000</v>
      </c>
      <c r="K66" s="1347">
        <v>124000</v>
      </c>
      <c r="L66" s="1137">
        <v>584000</v>
      </c>
      <c r="M66" s="1137">
        <v>0</v>
      </c>
      <c r="N66" s="1347">
        <v>0</v>
      </c>
      <c r="O66" s="1349">
        <f t="shared" ref="O66:O78" si="36">SUM(P66:R66)</f>
        <v>0</v>
      </c>
      <c r="P66" s="1252"/>
      <c r="Q66" s="1252"/>
      <c r="R66" s="1252"/>
      <c r="S66" s="1350">
        <f t="shared" ref="S66:S81" si="37">SUM(V66:X66)</f>
        <v>584000</v>
      </c>
      <c r="T66" s="1351">
        <v>460000</v>
      </c>
      <c r="U66" s="660">
        <f>SUM(T66)*0.27-200</f>
        <v>124000</v>
      </c>
      <c r="V66" s="1351">
        <f t="shared" ref="V66:X70" si="38">SUM(L66+P66)</f>
        <v>584000</v>
      </c>
      <c r="W66" s="451">
        <f t="shared" si="38"/>
        <v>0</v>
      </c>
      <c r="X66" s="660">
        <f t="shared" si="38"/>
        <v>0</v>
      </c>
      <c r="Y66" s="1380">
        <f t="shared" ref="Y66:Y80" si="39">+Z66+AA66</f>
        <v>24268507</v>
      </c>
      <c r="Z66" s="1381">
        <v>19410535</v>
      </c>
      <c r="AA66" s="1382">
        <v>4857972</v>
      </c>
      <c r="AB66" s="1383">
        <v>24268507</v>
      </c>
      <c r="AC66" s="1137"/>
      <c r="AD66" s="1347"/>
    </row>
    <row r="67" spans="1:30" s="293" customFormat="1" ht="15" customHeight="1">
      <c r="A67" s="1376"/>
      <c r="B67" s="1377" t="s">
        <v>988</v>
      </c>
      <c r="C67" s="1378">
        <f t="shared" si="34"/>
        <v>24003000</v>
      </c>
      <c r="D67" s="348">
        <v>18900000</v>
      </c>
      <c r="E67" s="1379">
        <v>5103000</v>
      </c>
      <c r="F67" s="348">
        <v>24003000</v>
      </c>
      <c r="G67" s="348">
        <v>0</v>
      </c>
      <c r="H67" s="1379">
        <v>0</v>
      </c>
      <c r="I67" s="1347">
        <f t="shared" si="35"/>
        <v>24003000</v>
      </c>
      <c r="J67" s="1348">
        <f>SUM(I67)/1.27</f>
        <v>18900000</v>
      </c>
      <c r="K67" s="1347">
        <f>SUM(J67)*0.27</f>
        <v>5103000</v>
      </c>
      <c r="L67" s="1137">
        <v>24003000</v>
      </c>
      <c r="M67" s="1137">
        <v>0</v>
      </c>
      <c r="N67" s="1347">
        <v>0</v>
      </c>
      <c r="O67" s="1349">
        <f t="shared" si="36"/>
        <v>0</v>
      </c>
      <c r="P67" s="1252"/>
      <c r="Q67" s="1252"/>
      <c r="R67" s="1252"/>
      <c r="S67" s="1350">
        <f t="shared" si="37"/>
        <v>24003000</v>
      </c>
      <c r="T67" s="1351">
        <f>SUM(S67)/1.27</f>
        <v>18900000</v>
      </c>
      <c r="U67" s="660">
        <f>SUM(T67)*0.27</f>
        <v>5103000</v>
      </c>
      <c r="V67" s="1351">
        <f t="shared" si="38"/>
        <v>24003000</v>
      </c>
      <c r="W67" s="451">
        <f t="shared" si="38"/>
        <v>0</v>
      </c>
      <c r="X67" s="660">
        <f t="shared" si="38"/>
        <v>0</v>
      </c>
      <c r="Y67" s="1380">
        <f t="shared" si="39"/>
        <v>0</v>
      </c>
      <c r="Z67" s="1381">
        <v>0</v>
      </c>
      <c r="AA67" s="1382">
        <f t="shared" ref="AA67:AA80" si="40">Z67*27%</f>
        <v>0</v>
      </c>
      <c r="AB67" s="1383">
        <v>0</v>
      </c>
      <c r="AC67" s="1137"/>
      <c r="AD67" s="1347"/>
    </row>
    <row r="68" spans="1:30" s="293" customFormat="1" ht="15" customHeight="1">
      <c r="A68" s="1376"/>
      <c r="B68" s="1377" t="s">
        <v>989</v>
      </c>
      <c r="C68" s="1378">
        <f t="shared" si="34"/>
        <v>1397000</v>
      </c>
      <c r="D68" s="348">
        <v>1100000</v>
      </c>
      <c r="E68" s="1379">
        <v>297000</v>
      </c>
      <c r="F68" s="348">
        <v>1397000</v>
      </c>
      <c r="G68" s="348">
        <v>0</v>
      </c>
      <c r="H68" s="1379">
        <v>0</v>
      </c>
      <c r="I68" s="1347">
        <f t="shared" si="35"/>
        <v>1397000</v>
      </c>
      <c r="J68" s="1348">
        <f>SUM(I68)/1.27</f>
        <v>1100000</v>
      </c>
      <c r="K68" s="1347">
        <f>SUM(J68)*0.27</f>
        <v>297000</v>
      </c>
      <c r="L68" s="1137">
        <v>1397000</v>
      </c>
      <c r="M68" s="1137">
        <v>0</v>
      </c>
      <c r="N68" s="1347">
        <v>0</v>
      </c>
      <c r="O68" s="1349">
        <f t="shared" si="36"/>
        <v>0</v>
      </c>
      <c r="P68" s="1252"/>
      <c r="Q68" s="1252"/>
      <c r="R68" s="1252"/>
      <c r="S68" s="1350">
        <f t="shared" si="37"/>
        <v>1397000</v>
      </c>
      <c r="T68" s="1351">
        <f>SUM(S68)/1.27</f>
        <v>1100000</v>
      </c>
      <c r="U68" s="660">
        <f>SUM(T68)*0.27</f>
        <v>297000</v>
      </c>
      <c r="V68" s="1351">
        <f t="shared" si="38"/>
        <v>1397000</v>
      </c>
      <c r="W68" s="451">
        <f t="shared" si="38"/>
        <v>0</v>
      </c>
      <c r="X68" s="660">
        <f t="shared" si="38"/>
        <v>0</v>
      </c>
      <c r="Y68" s="1380">
        <f t="shared" si="39"/>
        <v>1270000</v>
      </c>
      <c r="Z68" s="1381">
        <v>1000000</v>
      </c>
      <c r="AA68" s="1382">
        <f t="shared" si="40"/>
        <v>270000</v>
      </c>
      <c r="AB68" s="1383">
        <v>1270000</v>
      </c>
      <c r="AC68" s="1137"/>
      <c r="AD68" s="1347"/>
    </row>
    <row r="69" spans="1:30" s="293" customFormat="1" ht="15" customHeight="1">
      <c r="A69" s="1376"/>
      <c r="B69" s="1377" t="s">
        <v>990</v>
      </c>
      <c r="C69" s="1378">
        <f t="shared" si="34"/>
        <v>1270000</v>
      </c>
      <c r="D69" s="348">
        <v>1000000</v>
      </c>
      <c r="E69" s="1379">
        <v>270000</v>
      </c>
      <c r="F69" s="348">
        <v>1270000</v>
      </c>
      <c r="G69" s="348">
        <v>0</v>
      </c>
      <c r="H69" s="1379">
        <v>0</v>
      </c>
      <c r="I69" s="1347">
        <f t="shared" si="35"/>
        <v>1270000</v>
      </c>
      <c r="J69" s="1348">
        <f>SUM(I69)/1.27</f>
        <v>1000000</v>
      </c>
      <c r="K69" s="1347">
        <f>SUM(J69)*0.27</f>
        <v>270000</v>
      </c>
      <c r="L69" s="1137">
        <v>1270000</v>
      </c>
      <c r="M69" s="1137">
        <v>0</v>
      </c>
      <c r="N69" s="1347">
        <v>0</v>
      </c>
      <c r="O69" s="1349">
        <f t="shared" si="36"/>
        <v>0</v>
      </c>
      <c r="P69" s="1252"/>
      <c r="Q69" s="1252"/>
      <c r="R69" s="1252"/>
      <c r="S69" s="1350">
        <f t="shared" si="37"/>
        <v>1270000</v>
      </c>
      <c r="T69" s="1351">
        <f>SUM(S69)/1.27</f>
        <v>1000000</v>
      </c>
      <c r="U69" s="660">
        <f>SUM(T69)*0.27</f>
        <v>270000</v>
      </c>
      <c r="V69" s="1351">
        <f t="shared" si="38"/>
        <v>1270000</v>
      </c>
      <c r="W69" s="451">
        <f t="shared" si="38"/>
        <v>0</v>
      </c>
      <c r="X69" s="660">
        <f t="shared" si="38"/>
        <v>0</v>
      </c>
      <c r="Y69" s="1380">
        <f t="shared" si="39"/>
        <v>0</v>
      </c>
      <c r="Z69" s="1381">
        <v>0</v>
      </c>
      <c r="AA69" s="1382">
        <f t="shared" si="40"/>
        <v>0</v>
      </c>
      <c r="AB69" s="1383">
        <v>0</v>
      </c>
      <c r="AC69" s="1137"/>
      <c r="AD69" s="1347"/>
    </row>
    <row r="70" spans="1:30" s="293" customFormat="1" ht="15" customHeight="1">
      <c r="A70" s="1376"/>
      <c r="B70" s="1377" t="s">
        <v>991</v>
      </c>
      <c r="C70" s="1378">
        <f t="shared" si="34"/>
        <v>1143000</v>
      </c>
      <c r="D70" s="348">
        <v>900000</v>
      </c>
      <c r="E70" s="1379">
        <v>243000</v>
      </c>
      <c r="F70" s="348">
        <v>1143000</v>
      </c>
      <c r="G70" s="348">
        <v>0</v>
      </c>
      <c r="H70" s="1379">
        <v>0</v>
      </c>
      <c r="I70" s="1347">
        <f t="shared" si="35"/>
        <v>1143000</v>
      </c>
      <c r="J70" s="1348">
        <f>SUM(I70)/1.27</f>
        <v>900000</v>
      </c>
      <c r="K70" s="1347">
        <f>SUM(J70)*0.27</f>
        <v>243000</v>
      </c>
      <c r="L70" s="1137">
        <v>1143000</v>
      </c>
      <c r="M70" s="1137">
        <v>0</v>
      </c>
      <c r="N70" s="1347">
        <v>0</v>
      </c>
      <c r="O70" s="1349">
        <f t="shared" si="36"/>
        <v>0</v>
      </c>
      <c r="P70" s="1252"/>
      <c r="Q70" s="1252"/>
      <c r="R70" s="1252"/>
      <c r="S70" s="1350">
        <f t="shared" si="37"/>
        <v>1143000</v>
      </c>
      <c r="T70" s="1351">
        <f>SUM(S70)/1.27</f>
        <v>900000</v>
      </c>
      <c r="U70" s="660">
        <f>SUM(T70)*0.27</f>
        <v>243000</v>
      </c>
      <c r="V70" s="1351">
        <f t="shared" si="38"/>
        <v>1143000</v>
      </c>
      <c r="W70" s="451">
        <f t="shared" si="38"/>
        <v>0</v>
      </c>
      <c r="X70" s="660">
        <f t="shared" si="38"/>
        <v>0</v>
      </c>
      <c r="Y70" s="1380">
        <f t="shared" si="39"/>
        <v>0</v>
      </c>
      <c r="Z70" s="1381">
        <v>0</v>
      </c>
      <c r="AA70" s="1382">
        <f t="shared" si="40"/>
        <v>0</v>
      </c>
      <c r="AB70" s="1383">
        <v>0</v>
      </c>
      <c r="AC70" s="1137"/>
      <c r="AD70" s="1347"/>
    </row>
    <row r="71" spans="1:30" s="293" customFormat="1" ht="15" customHeight="1">
      <c r="A71" s="1376"/>
      <c r="B71" s="1377" t="s">
        <v>992</v>
      </c>
      <c r="C71" s="1378">
        <f t="shared" si="34"/>
        <v>3810000</v>
      </c>
      <c r="D71" s="348">
        <v>3000000</v>
      </c>
      <c r="E71" s="1379">
        <v>810000</v>
      </c>
      <c r="F71" s="348">
        <v>3810000</v>
      </c>
      <c r="G71" s="348">
        <v>0</v>
      </c>
      <c r="H71" s="1379">
        <v>0</v>
      </c>
      <c r="I71" s="1347">
        <f t="shared" si="35"/>
        <v>3810000</v>
      </c>
      <c r="J71" s="1348">
        <f>SUM(I71)/1.27</f>
        <v>3000000</v>
      </c>
      <c r="K71" s="1347">
        <f>SUM(J71)*0.27</f>
        <v>810000</v>
      </c>
      <c r="L71" s="1137">
        <v>3810000</v>
      </c>
      <c r="M71" s="1137">
        <v>0</v>
      </c>
      <c r="N71" s="1347">
        <v>0</v>
      </c>
      <c r="O71" s="1349">
        <f t="shared" si="36"/>
        <v>0</v>
      </c>
      <c r="P71" s="1252"/>
      <c r="Q71" s="1252"/>
      <c r="R71" s="1252"/>
      <c r="S71" s="1350">
        <f t="shared" si="37"/>
        <v>1487170</v>
      </c>
      <c r="T71" s="1351">
        <f>SUM(S71)/1.27</f>
        <v>1171000</v>
      </c>
      <c r="U71" s="660">
        <f>SUM(T71)*0.27</f>
        <v>316170</v>
      </c>
      <c r="V71" s="1351">
        <v>1487170</v>
      </c>
      <c r="W71" s="451">
        <f t="shared" ref="W71:X78" si="41">SUM(M71+Q71)</f>
        <v>0</v>
      </c>
      <c r="X71" s="660">
        <f t="shared" si="41"/>
        <v>0</v>
      </c>
      <c r="Y71" s="1380">
        <f t="shared" si="39"/>
        <v>18735248</v>
      </c>
      <c r="Z71" s="1381">
        <v>14752164</v>
      </c>
      <c r="AA71" s="1382">
        <f t="shared" si="40"/>
        <v>3983084</v>
      </c>
      <c r="AB71" s="1383">
        <v>18735248</v>
      </c>
      <c r="AC71" s="1137"/>
      <c r="AD71" s="1347"/>
    </row>
    <row r="72" spans="1:30" s="293" customFormat="1" ht="15" customHeight="1">
      <c r="A72" s="1376"/>
      <c r="B72" s="1377" t="s">
        <v>993</v>
      </c>
      <c r="C72" s="1378">
        <f t="shared" si="34"/>
        <v>18735000</v>
      </c>
      <c r="D72" s="348">
        <v>14752000</v>
      </c>
      <c r="E72" s="1379">
        <v>3983000</v>
      </c>
      <c r="F72" s="348">
        <v>18735000</v>
      </c>
      <c r="G72" s="348">
        <v>0</v>
      </c>
      <c r="H72" s="1379">
        <v>0</v>
      </c>
      <c r="I72" s="1347">
        <f t="shared" si="35"/>
        <v>18735000</v>
      </c>
      <c r="J72" s="1348">
        <v>14752000</v>
      </c>
      <c r="K72" s="1347">
        <v>3983000</v>
      </c>
      <c r="L72" s="1137">
        <v>18735000</v>
      </c>
      <c r="M72" s="1137">
        <v>0</v>
      </c>
      <c r="N72" s="1347">
        <v>0</v>
      </c>
      <c r="O72" s="1349">
        <f t="shared" si="36"/>
        <v>0</v>
      </c>
      <c r="P72" s="1252"/>
      <c r="Q72" s="1252"/>
      <c r="R72" s="1252"/>
      <c r="S72" s="1350">
        <f t="shared" si="37"/>
        <v>18735000</v>
      </c>
      <c r="T72" s="1351">
        <v>14752000</v>
      </c>
      <c r="U72" s="660">
        <v>3983000</v>
      </c>
      <c r="V72" s="1351">
        <f t="shared" ref="V72:V78" si="42">SUM(L72+P72)</f>
        <v>18735000</v>
      </c>
      <c r="W72" s="451">
        <f t="shared" si="41"/>
        <v>0</v>
      </c>
      <c r="X72" s="660">
        <f t="shared" si="41"/>
        <v>0</v>
      </c>
      <c r="Y72" s="1380">
        <f t="shared" si="39"/>
        <v>0</v>
      </c>
      <c r="Z72" s="1381">
        <v>0</v>
      </c>
      <c r="AA72" s="1382">
        <f t="shared" si="40"/>
        <v>0</v>
      </c>
      <c r="AB72" s="1383">
        <v>0</v>
      </c>
      <c r="AC72" s="1137"/>
      <c r="AD72" s="1347"/>
    </row>
    <row r="73" spans="1:30" s="293" customFormat="1" ht="15" customHeight="1">
      <c r="A73" s="1376"/>
      <c r="B73" s="1377" t="s">
        <v>994</v>
      </c>
      <c r="C73" s="1378">
        <f t="shared" si="34"/>
        <v>7620000</v>
      </c>
      <c r="D73" s="348">
        <v>6000000</v>
      </c>
      <c r="E73" s="1379">
        <v>1620000</v>
      </c>
      <c r="F73" s="348">
        <v>7620000</v>
      </c>
      <c r="G73" s="348">
        <v>0</v>
      </c>
      <c r="H73" s="1379">
        <v>0</v>
      </c>
      <c r="I73" s="1347">
        <f t="shared" si="35"/>
        <v>7620000</v>
      </c>
      <c r="J73" s="1348">
        <f>SUM(I73)/1.27</f>
        <v>6000000</v>
      </c>
      <c r="K73" s="1347">
        <f>SUM(J73)*0.27</f>
        <v>1620000</v>
      </c>
      <c r="L73" s="1137">
        <v>7620000</v>
      </c>
      <c r="M73" s="1137">
        <v>0</v>
      </c>
      <c r="N73" s="1347">
        <v>0</v>
      </c>
      <c r="O73" s="1349">
        <f t="shared" si="36"/>
        <v>0</v>
      </c>
      <c r="P73" s="1252"/>
      <c r="Q73" s="1252"/>
      <c r="R73" s="1252"/>
      <c r="S73" s="1350">
        <f t="shared" si="37"/>
        <v>7620000</v>
      </c>
      <c r="T73" s="1351">
        <f>SUM(S73)/1.27</f>
        <v>6000000</v>
      </c>
      <c r="U73" s="660">
        <f>SUM(T73)*0.27</f>
        <v>1620000</v>
      </c>
      <c r="V73" s="1351">
        <f t="shared" si="42"/>
        <v>7620000</v>
      </c>
      <c r="W73" s="451">
        <f t="shared" si="41"/>
        <v>0</v>
      </c>
      <c r="X73" s="660">
        <f t="shared" si="41"/>
        <v>0</v>
      </c>
      <c r="Y73" s="1380">
        <f t="shared" si="39"/>
        <v>881101</v>
      </c>
      <c r="Z73" s="1381">
        <v>693780</v>
      </c>
      <c r="AA73" s="1382">
        <f t="shared" si="40"/>
        <v>187321</v>
      </c>
      <c r="AB73" s="1383">
        <v>881101</v>
      </c>
      <c r="AC73" s="1137"/>
      <c r="AD73" s="1347"/>
    </row>
    <row r="74" spans="1:30" s="293" customFormat="1" ht="15" customHeight="1">
      <c r="A74" s="1376"/>
      <c r="B74" s="1343" t="s">
        <v>995</v>
      </c>
      <c r="C74" s="1344">
        <f t="shared" si="34"/>
        <v>762000</v>
      </c>
      <c r="D74" s="1345">
        <v>600000</v>
      </c>
      <c r="E74" s="1346">
        <v>162000</v>
      </c>
      <c r="F74" s="1345">
        <v>762000</v>
      </c>
      <c r="G74" s="1345">
        <v>0</v>
      </c>
      <c r="H74" s="1346">
        <v>0</v>
      </c>
      <c r="I74" s="1347">
        <f t="shared" si="35"/>
        <v>762000</v>
      </c>
      <c r="J74" s="1348">
        <f>SUM(I74)/1.27</f>
        <v>600000</v>
      </c>
      <c r="K74" s="1347">
        <f>SUM(J74)*0.27</f>
        <v>162000</v>
      </c>
      <c r="L74" s="1137">
        <v>762000</v>
      </c>
      <c r="M74" s="1137">
        <v>0</v>
      </c>
      <c r="N74" s="1347">
        <v>0</v>
      </c>
      <c r="O74" s="1349">
        <f t="shared" si="36"/>
        <v>0</v>
      </c>
      <c r="P74" s="1252"/>
      <c r="Q74" s="1252"/>
      <c r="R74" s="1252"/>
      <c r="S74" s="1350">
        <f t="shared" si="37"/>
        <v>762000</v>
      </c>
      <c r="T74" s="1351">
        <f>SUM(S74)/1.27</f>
        <v>600000</v>
      </c>
      <c r="U74" s="660">
        <f>SUM(T74)*0.27</f>
        <v>162000</v>
      </c>
      <c r="V74" s="1351">
        <f t="shared" si="42"/>
        <v>762000</v>
      </c>
      <c r="W74" s="451">
        <f t="shared" si="41"/>
        <v>0</v>
      </c>
      <c r="X74" s="660">
        <f t="shared" si="41"/>
        <v>0</v>
      </c>
      <c r="Y74" s="1380">
        <f t="shared" si="39"/>
        <v>1752854</v>
      </c>
      <c r="Z74" s="1381">
        <v>1380200</v>
      </c>
      <c r="AA74" s="1382">
        <f t="shared" si="40"/>
        <v>372654</v>
      </c>
      <c r="AB74" s="1383">
        <v>1752854</v>
      </c>
      <c r="AC74" s="1137"/>
      <c r="AD74" s="1347"/>
    </row>
    <row r="75" spans="1:30" s="293" customFormat="1" ht="15" customHeight="1">
      <c r="A75" s="1376"/>
      <c r="B75" s="1343" t="s">
        <v>996</v>
      </c>
      <c r="C75" s="1344">
        <f t="shared" si="34"/>
        <v>1905000</v>
      </c>
      <c r="D75" s="1345">
        <v>1500000</v>
      </c>
      <c r="E75" s="1346">
        <v>405000</v>
      </c>
      <c r="F75" s="1345">
        <v>1905000</v>
      </c>
      <c r="G75" s="1345">
        <v>0</v>
      </c>
      <c r="H75" s="1346">
        <v>0</v>
      </c>
      <c r="I75" s="1347">
        <f t="shared" si="35"/>
        <v>1905000</v>
      </c>
      <c r="J75" s="1348">
        <f>SUM(I75)/1.27</f>
        <v>1500000</v>
      </c>
      <c r="K75" s="1347">
        <f>SUM(J75)*0.27</f>
        <v>405000</v>
      </c>
      <c r="L75" s="1137">
        <v>1905000</v>
      </c>
      <c r="M75" s="1137">
        <v>0</v>
      </c>
      <c r="N75" s="1347">
        <v>0</v>
      </c>
      <c r="O75" s="1349">
        <f t="shared" si="36"/>
        <v>0</v>
      </c>
      <c r="P75" s="1252"/>
      <c r="Q75" s="1252"/>
      <c r="R75" s="1252"/>
      <c r="S75" s="1350">
        <f t="shared" si="37"/>
        <v>1905000</v>
      </c>
      <c r="T75" s="1351">
        <f>SUM(S75)/1.27</f>
        <v>1500000</v>
      </c>
      <c r="U75" s="660">
        <f>SUM(T75)*0.27</f>
        <v>405000</v>
      </c>
      <c r="V75" s="1351">
        <f t="shared" si="42"/>
        <v>1905000</v>
      </c>
      <c r="W75" s="451">
        <f t="shared" si="41"/>
        <v>0</v>
      </c>
      <c r="X75" s="660">
        <f t="shared" si="41"/>
        <v>0</v>
      </c>
      <c r="Y75" s="1380">
        <f t="shared" si="39"/>
        <v>0</v>
      </c>
      <c r="Z75" s="1381">
        <v>0</v>
      </c>
      <c r="AA75" s="1382">
        <f t="shared" si="40"/>
        <v>0</v>
      </c>
      <c r="AB75" s="1383">
        <v>0</v>
      </c>
      <c r="AC75" s="1137"/>
      <c r="AD75" s="1347"/>
    </row>
    <row r="76" spans="1:30" s="293" customFormat="1" ht="15" customHeight="1">
      <c r="A76" s="1376"/>
      <c r="B76" s="1343" t="s">
        <v>997</v>
      </c>
      <c r="C76" s="1344">
        <f t="shared" si="34"/>
        <v>4445000</v>
      </c>
      <c r="D76" s="1345">
        <v>3500000</v>
      </c>
      <c r="E76" s="1346">
        <v>945000</v>
      </c>
      <c r="F76" s="1345">
        <v>4445000</v>
      </c>
      <c r="G76" s="1345">
        <v>0</v>
      </c>
      <c r="H76" s="1346">
        <v>0</v>
      </c>
      <c r="I76" s="1347">
        <f t="shared" si="35"/>
        <v>4445000</v>
      </c>
      <c r="J76" s="1348">
        <f>SUM(I76)/1.27</f>
        <v>3500000</v>
      </c>
      <c r="K76" s="1347">
        <f>SUM(J76)*0.27</f>
        <v>945000</v>
      </c>
      <c r="L76" s="1137">
        <v>4445000</v>
      </c>
      <c r="M76" s="1137">
        <v>0</v>
      </c>
      <c r="N76" s="1347">
        <v>0</v>
      </c>
      <c r="O76" s="1349">
        <f t="shared" si="36"/>
        <v>0</v>
      </c>
      <c r="P76" s="1252"/>
      <c r="Q76" s="1252"/>
      <c r="R76" s="1252"/>
      <c r="S76" s="1350">
        <f t="shared" si="37"/>
        <v>4445000</v>
      </c>
      <c r="T76" s="1351">
        <f>SUM(S76)/1.27</f>
        <v>3500000</v>
      </c>
      <c r="U76" s="660">
        <f>SUM(T76)*0.27</f>
        <v>945000</v>
      </c>
      <c r="V76" s="1351">
        <f t="shared" si="42"/>
        <v>4445000</v>
      </c>
      <c r="W76" s="451">
        <f t="shared" si="41"/>
        <v>0</v>
      </c>
      <c r="X76" s="660">
        <f t="shared" si="41"/>
        <v>0</v>
      </c>
      <c r="Y76" s="1380">
        <f t="shared" si="39"/>
        <v>11193379</v>
      </c>
      <c r="Z76" s="1381">
        <v>8813684</v>
      </c>
      <c r="AA76" s="1382">
        <f t="shared" si="40"/>
        <v>2379695</v>
      </c>
      <c r="AB76" s="1383">
        <v>11193379</v>
      </c>
      <c r="AC76" s="1137"/>
      <c r="AD76" s="1347"/>
    </row>
    <row r="77" spans="1:30" s="293" customFormat="1" ht="15" customHeight="1">
      <c r="A77" s="1376"/>
      <c r="B77" s="1343" t="s">
        <v>998</v>
      </c>
      <c r="C77" s="1344">
        <f t="shared" si="34"/>
        <v>0</v>
      </c>
      <c r="D77" s="1345">
        <v>0</v>
      </c>
      <c r="E77" s="1346">
        <v>0</v>
      </c>
      <c r="F77" s="1345"/>
      <c r="G77" s="1345">
        <v>0</v>
      </c>
      <c r="H77" s="1346">
        <v>0</v>
      </c>
      <c r="I77" s="1347">
        <f t="shared" si="35"/>
        <v>11194000</v>
      </c>
      <c r="J77" s="1348">
        <f>SUM(I77)/1.27</f>
        <v>8814173</v>
      </c>
      <c r="K77" s="1347">
        <f>SUM(J77)*0.27</f>
        <v>2379827</v>
      </c>
      <c r="L77" s="1137">
        <v>11194000</v>
      </c>
      <c r="M77" s="1137">
        <v>0</v>
      </c>
      <c r="N77" s="1347">
        <v>0</v>
      </c>
      <c r="O77" s="1349">
        <f t="shared" si="36"/>
        <v>0</v>
      </c>
      <c r="P77" s="1252"/>
      <c r="Q77" s="1252"/>
      <c r="R77" s="1252"/>
      <c r="S77" s="1350">
        <f t="shared" si="37"/>
        <v>11194000</v>
      </c>
      <c r="T77" s="1351">
        <f>SUM(S77)/1.27</f>
        <v>8814173</v>
      </c>
      <c r="U77" s="660">
        <f>SUM(T77)*0.27</f>
        <v>2379827</v>
      </c>
      <c r="V77" s="1351">
        <f t="shared" si="42"/>
        <v>11194000</v>
      </c>
      <c r="W77" s="451">
        <f t="shared" si="41"/>
        <v>0</v>
      </c>
      <c r="X77" s="660">
        <f t="shared" si="41"/>
        <v>0</v>
      </c>
      <c r="Y77" s="1380">
        <f t="shared" si="39"/>
        <v>2194947</v>
      </c>
      <c r="Z77" s="1381">
        <v>1728305</v>
      </c>
      <c r="AA77" s="1382">
        <f t="shared" si="40"/>
        <v>466642</v>
      </c>
      <c r="AB77" s="1384">
        <v>2194947</v>
      </c>
      <c r="AC77" s="1137"/>
      <c r="AD77" s="1347"/>
    </row>
    <row r="78" spans="1:30" s="293" customFormat="1" ht="15" customHeight="1">
      <c r="A78" s="1376"/>
      <c r="B78" s="1343" t="s">
        <v>999</v>
      </c>
      <c r="C78" s="1344">
        <f t="shared" si="34"/>
        <v>0</v>
      </c>
      <c r="D78" s="1345">
        <v>0</v>
      </c>
      <c r="E78" s="1346">
        <v>0</v>
      </c>
      <c r="F78" s="1345"/>
      <c r="G78" s="1345">
        <v>0</v>
      </c>
      <c r="H78" s="1346">
        <v>0</v>
      </c>
      <c r="I78" s="1347">
        <f t="shared" si="35"/>
        <v>2597000</v>
      </c>
      <c r="J78" s="1348">
        <v>2346358</v>
      </c>
      <c r="K78" s="1347">
        <v>250642</v>
      </c>
      <c r="L78" s="1137">
        <v>2597000</v>
      </c>
      <c r="M78" s="1137">
        <v>0</v>
      </c>
      <c r="N78" s="1347">
        <v>0</v>
      </c>
      <c r="O78" s="1349">
        <f t="shared" si="36"/>
        <v>0</v>
      </c>
      <c r="P78" s="1252"/>
      <c r="Q78" s="1252"/>
      <c r="R78" s="1252"/>
      <c r="S78" s="1350">
        <f t="shared" si="37"/>
        <v>2597000</v>
      </c>
      <c r="T78" s="1351">
        <v>2346358</v>
      </c>
      <c r="U78" s="660">
        <v>250642</v>
      </c>
      <c r="V78" s="451">
        <f t="shared" si="42"/>
        <v>2597000</v>
      </c>
      <c r="W78" s="451">
        <f t="shared" si="41"/>
        <v>0</v>
      </c>
      <c r="X78" s="660">
        <f t="shared" si="41"/>
        <v>0</v>
      </c>
      <c r="Y78" s="1380">
        <f t="shared" si="39"/>
        <v>2322830</v>
      </c>
      <c r="Z78" s="1381">
        <v>1829000</v>
      </c>
      <c r="AA78" s="1382">
        <f t="shared" si="40"/>
        <v>493830</v>
      </c>
      <c r="AB78" s="1384">
        <v>2322830</v>
      </c>
      <c r="AC78" s="1137"/>
      <c r="AD78" s="1347"/>
    </row>
    <row r="79" spans="1:30" s="293" customFormat="1" ht="15" customHeight="1">
      <c r="A79" s="1376"/>
      <c r="B79" s="1369" t="s">
        <v>1000</v>
      </c>
      <c r="C79" s="1344"/>
      <c r="D79" s="1345"/>
      <c r="E79" s="1346"/>
      <c r="F79" s="1345"/>
      <c r="G79" s="1345"/>
      <c r="H79" s="1346"/>
      <c r="I79" s="1347"/>
      <c r="J79" s="1348"/>
      <c r="K79" s="1347"/>
      <c r="L79" s="1137"/>
      <c r="M79" s="1137"/>
      <c r="N79" s="1347"/>
      <c r="O79" s="1349"/>
      <c r="P79" s="1252"/>
      <c r="Q79" s="1252"/>
      <c r="R79" s="1252"/>
      <c r="S79" s="1350">
        <f t="shared" si="37"/>
        <v>2322830</v>
      </c>
      <c r="T79" s="1351">
        <f>SUM(S79)/1.27</f>
        <v>1829000</v>
      </c>
      <c r="U79" s="660">
        <f>SUM(T79)*0.27</f>
        <v>493830</v>
      </c>
      <c r="V79" s="451">
        <v>2322830</v>
      </c>
      <c r="W79" s="451"/>
      <c r="X79" s="660"/>
      <c r="Y79" s="1380">
        <f t="shared" si="39"/>
        <v>5994794</v>
      </c>
      <c r="Z79" s="1381">
        <v>4720310</v>
      </c>
      <c r="AA79" s="1382">
        <f t="shared" si="40"/>
        <v>1274484</v>
      </c>
      <c r="AB79" s="1383">
        <v>5994794</v>
      </c>
      <c r="AC79" s="1137"/>
      <c r="AD79" s="1347"/>
    </row>
    <row r="80" spans="1:30" s="293" customFormat="1" ht="15" customHeight="1">
      <c r="A80" s="1376"/>
      <c r="B80" s="1343" t="s">
        <v>1001</v>
      </c>
      <c r="C80" s="1344">
        <f>D80+E80</f>
        <v>0</v>
      </c>
      <c r="D80" s="1345"/>
      <c r="E80" s="1346"/>
      <c r="F80" s="1345"/>
      <c r="G80" s="1345"/>
      <c r="H80" s="1346"/>
      <c r="I80" s="1347">
        <f>SUM(L80:N80)</f>
        <v>0</v>
      </c>
      <c r="J80" s="1348">
        <f>SUM(I80)/1.27</f>
        <v>0</v>
      </c>
      <c r="K80" s="1347">
        <f>SUM(J80)*0.27</f>
        <v>0</v>
      </c>
      <c r="L80" s="1137"/>
      <c r="M80" s="1137">
        <v>0</v>
      </c>
      <c r="N80" s="1347">
        <v>0</v>
      </c>
      <c r="O80" s="1349">
        <f>SUM(P80:R80)</f>
        <v>5994794</v>
      </c>
      <c r="P80" s="1252">
        <v>5994794</v>
      </c>
      <c r="Q80" s="1252"/>
      <c r="R80" s="1252"/>
      <c r="S80" s="1350">
        <f t="shared" si="37"/>
        <v>5994794</v>
      </c>
      <c r="T80" s="1351">
        <f>SUM(S80)/1.27</f>
        <v>4720310</v>
      </c>
      <c r="U80" s="660">
        <f>SUM(T80)*0.27</f>
        <v>1274484</v>
      </c>
      <c r="V80" s="1351">
        <f>SUM(L80+P80)</f>
        <v>5994794</v>
      </c>
      <c r="W80" s="451">
        <f>SUM(M80+Q80)</f>
        <v>0</v>
      </c>
      <c r="X80" s="660">
        <f>SUM(N80+R80)</f>
        <v>0</v>
      </c>
      <c r="Y80" s="1380">
        <f t="shared" si="39"/>
        <v>4321912</v>
      </c>
      <c r="Z80" s="1381">
        <v>3403080</v>
      </c>
      <c r="AA80" s="1382">
        <f t="shared" si="40"/>
        <v>918832</v>
      </c>
      <c r="AB80" s="1383">
        <v>4321912</v>
      </c>
      <c r="AC80" s="1137"/>
      <c r="AD80" s="1347"/>
    </row>
    <row r="81" spans="1:30" s="293" customFormat="1" ht="15" customHeight="1">
      <c r="A81" s="1376"/>
      <c r="B81" s="1369" t="s">
        <v>1002</v>
      </c>
      <c r="C81" s="1344"/>
      <c r="D81" s="1345"/>
      <c r="E81" s="1346"/>
      <c r="F81" s="1345"/>
      <c r="G81" s="1345"/>
      <c r="H81" s="1346"/>
      <c r="I81" s="1347">
        <f>SUM(L81:P81)</f>
        <v>0</v>
      </c>
      <c r="J81" s="1348">
        <f>SUM(I81)/1.27</f>
        <v>0</v>
      </c>
      <c r="K81" s="1347">
        <f>SUM(J81)*0.27</f>
        <v>0</v>
      </c>
      <c r="L81" s="1137">
        <v>0</v>
      </c>
      <c r="M81" s="1137">
        <v>0</v>
      </c>
      <c r="N81" s="1347">
        <v>0</v>
      </c>
      <c r="O81" s="1349">
        <f>SUM(P81:R81)</f>
        <v>0</v>
      </c>
      <c r="P81" s="1252"/>
      <c r="Q81" s="1252"/>
      <c r="R81" s="1252"/>
      <c r="S81" s="1350">
        <f t="shared" si="37"/>
        <v>4000000</v>
      </c>
      <c r="T81" s="1351">
        <f>SUM(S81)/1.27</f>
        <v>3149606</v>
      </c>
      <c r="U81" s="660">
        <f>SUM(T81)*0.27</f>
        <v>850394</v>
      </c>
      <c r="V81" s="1351">
        <v>4000000</v>
      </c>
      <c r="W81" s="451">
        <f>SUM(M81+Q81)</f>
        <v>0</v>
      </c>
      <c r="X81" s="660">
        <f>SUM(N81+R81)</f>
        <v>0</v>
      </c>
      <c r="Y81" s="1352"/>
      <c r="Z81" s="1348"/>
      <c r="AA81" s="1347"/>
      <c r="AB81" s="1348"/>
      <c r="AC81" s="1137"/>
      <c r="AD81" s="1347"/>
    </row>
    <row r="82" spans="1:30" s="293" customFormat="1" ht="9.75" customHeight="1">
      <c r="A82" s="1385"/>
      <c r="B82" s="1343"/>
      <c r="C82" s="1344"/>
      <c r="D82" s="1345"/>
      <c r="E82" s="1346"/>
      <c r="F82" s="1345"/>
      <c r="G82" s="1345"/>
      <c r="H82" s="1346"/>
      <c r="I82" s="1353"/>
      <c r="J82" s="1354"/>
      <c r="K82" s="1355"/>
      <c r="L82" s="304"/>
      <c r="M82" s="294"/>
      <c r="N82" s="1356"/>
      <c r="O82" s="1357"/>
      <c r="P82" s="1358"/>
      <c r="Q82" s="1359"/>
      <c r="R82" s="1359"/>
      <c r="S82" s="1360"/>
      <c r="T82" s="1351"/>
      <c r="U82" s="660"/>
      <c r="V82" s="1363"/>
      <c r="W82" s="1364"/>
      <c r="X82" s="1365"/>
      <c r="Y82" s="1366"/>
      <c r="Z82" s="1367"/>
      <c r="AA82" s="1355"/>
      <c r="AB82" s="1368"/>
      <c r="AC82" s="294"/>
      <c r="AD82" s="1356"/>
    </row>
    <row r="83" spans="1:30" s="293" customFormat="1" ht="15" customHeight="1">
      <c r="A83" s="1328" t="s">
        <v>198</v>
      </c>
      <c r="B83" s="1329"/>
      <c r="C83" s="1330">
        <f t="shared" ref="C83:AD83" si="43">SUM(C84:C88)</f>
        <v>13335000</v>
      </c>
      <c r="D83" s="1331">
        <f t="shared" si="43"/>
        <v>10500000</v>
      </c>
      <c r="E83" s="1332">
        <f t="shared" si="43"/>
        <v>2835000</v>
      </c>
      <c r="F83" s="1331">
        <f t="shared" si="43"/>
        <v>13335000</v>
      </c>
      <c r="G83" s="1331">
        <f t="shared" si="43"/>
        <v>0</v>
      </c>
      <c r="H83" s="1332">
        <f t="shared" si="43"/>
        <v>0</v>
      </c>
      <c r="I83" s="1333">
        <f t="shared" si="43"/>
        <v>13335000</v>
      </c>
      <c r="J83" s="1334">
        <f t="shared" si="43"/>
        <v>10500000</v>
      </c>
      <c r="K83" s="1333">
        <f t="shared" si="43"/>
        <v>2835000</v>
      </c>
      <c r="L83" s="1335">
        <f t="shared" si="43"/>
        <v>13335000</v>
      </c>
      <c r="M83" s="1335">
        <f t="shared" si="43"/>
        <v>0</v>
      </c>
      <c r="N83" s="1333">
        <f t="shared" si="43"/>
        <v>0</v>
      </c>
      <c r="O83" s="1336">
        <f t="shared" si="43"/>
        <v>0</v>
      </c>
      <c r="P83" s="1337">
        <f t="shared" si="43"/>
        <v>0</v>
      </c>
      <c r="Q83" s="1337">
        <f t="shared" si="43"/>
        <v>0</v>
      </c>
      <c r="R83" s="1337">
        <f t="shared" si="43"/>
        <v>0</v>
      </c>
      <c r="S83" s="1338">
        <f t="shared" si="43"/>
        <v>17865367</v>
      </c>
      <c r="T83" s="1339">
        <f t="shared" si="43"/>
        <v>14067218</v>
      </c>
      <c r="U83" s="1340">
        <f t="shared" si="43"/>
        <v>3798149</v>
      </c>
      <c r="V83" s="1339">
        <f t="shared" si="43"/>
        <v>17865367</v>
      </c>
      <c r="W83" s="1341">
        <f t="shared" si="43"/>
        <v>0</v>
      </c>
      <c r="X83" s="1340">
        <f t="shared" si="43"/>
        <v>0</v>
      </c>
      <c r="Y83" s="1342">
        <f t="shared" si="43"/>
        <v>13039367</v>
      </c>
      <c r="Z83" s="1334">
        <f t="shared" si="43"/>
        <v>10267218</v>
      </c>
      <c r="AA83" s="1333">
        <f t="shared" si="43"/>
        <v>2772149</v>
      </c>
      <c r="AB83" s="1334">
        <f t="shared" si="43"/>
        <v>13039367</v>
      </c>
      <c r="AC83" s="1335">
        <f t="shared" si="43"/>
        <v>0</v>
      </c>
      <c r="AD83" s="1333">
        <f t="shared" si="43"/>
        <v>0</v>
      </c>
    </row>
    <row r="84" spans="1:30" s="293" customFormat="1" ht="15" customHeight="1">
      <c r="A84" s="1376"/>
      <c r="B84" s="1343" t="s">
        <v>1003</v>
      </c>
      <c r="C84" s="1344">
        <f>D84+E84</f>
        <v>9525000</v>
      </c>
      <c r="D84" s="1345">
        <v>7500000</v>
      </c>
      <c r="E84" s="1346">
        <v>2025000</v>
      </c>
      <c r="F84" s="1345">
        <v>9525000</v>
      </c>
      <c r="G84" s="1345">
        <v>0</v>
      </c>
      <c r="H84" s="1346">
        <v>0</v>
      </c>
      <c r="I84" s="1347">
        <f>SUM(L84:N84)</f>
        <v>9525000</v>
      </c>
      <c r="J84" s="1348">
        <f>SUM(I84)/1.27</f>
        <v>7500000</v>
      </c>
      <c r="K84" s="1347">
        <f>SUM(J84)*0.27</f>
        <v>2025000</v>
      </c>
      <c r="L84" s="1137">
        <v>9525000</v>
      </c>
      <c r="M84" s="1137">
        <v>0</v>
      </c>
      <c r="N84" s="1347">
        <v>0</v>
      </c>
      <c r="O84" s="1349">
        <f>SUM(P84:R84)</f>
        <v>0</v>
      </c>
      <c r="P84" s="1252"/>
      <c r="Q84" s="1252"/>
      <c r="R84" s="1252"/>
      <c r="S84" s="1350">
        <f>SUM(V84:X84)</f>
        <v>9307276</v>
      </c>
      <c r="T84" s="1351">
        <f>SUM(S84)/1.27</f>
        <v>7328564</v>
      </c>
      <c r="U84" s="660">
        <f>SUM(T84)*0.27</f>
        <v>1978712</v>
      </c>
      <c r="V84" s="1351">
        <v>9307276</v>
      </c>
      <c r="W84" s="451">
        <f t="shared" ref="W84:X88" si="44">SUM(M84+Q84)</f>
        <v>0</v>
      </c>
      <c r="X84" s="660">
        <f t="shared" si="44"/>
        <v>0</v>
      </c>
      <c r="Y84" s="1352">
        <v>9307276</v>
      </c>
      <c r="Z84" s="1348">
        <v>7328564</v>
      </c>
      <c r="AA84" s="1347">
        <v>1978712</v>
      </c>
      <c r="AB84" s="1348">
        <v>9307276</v>
      </c>
      <c r="AC84" s="1137"/>
      <c r="AD84" s="1347"/>
    </row>
    <row r="85" spans="1:30" s="293" customFormat="1" ht="15" customHeight="1">
      <c r="A85" s="1376"/>
      <c r="B85" s="1343" t="s">
        <v>1004</v>
      </c>
      <c r="C85" s="1344">
        <f>D85+E85</f>
        <v>3810000</v>
      </c>
      <c r="D85" s="1345">
        <v>3000000</v>
      </c>
      <c r="E85" s="1346">
        <v>810000</v>
      </c>
      <c r="F85" s="1345">
        <v>3810000</v>
      </c>
      <c r="G85" s="1345">
        <v>0</v>
      </c>
      <c r="H85" s="1346">
        <v>0</v>
      </c>
      <c r="I85" s="1347">
        <f>SUM(L85:N85)</f>
        <v>3810000</v>
      </c>
      <c r="J85" s="1348">
        <f>SUM(I85)/1.27</f>
        <v>3000000</v>
      </c>
      <c r="K85" s="1347">
        <f>SUM(J85)*0.27</f>
        <v>810000</v>
      </c>
      <c r="L85" s="1137">
        <v>3810000</v>
      </c>
      <c r="M85" s="1137">
        <v>0</v>
      </c>
      <c r="N85" s="1347">
        <v>0</v>
      </c>
      <c r="O85" s="1349">
        <f>SUM(P85:R85)</f>
        <v>0</v>
      </c>
      <c r="P85" s="1252"/>
      <c r="Q85" s="1252"/>
      <c r="R85" s="1252"/>
      <c r="S85" s="1350">
        <f>SUM(V85:X85)</f>
        <v>3732091</v>
      </c>
      <c r="T85" s="1351">
        <f>SUM(S85)/1.27</f>
        <v>2938654</v>
      </c>
      <c r="U85" s="660">
        <f>SUM(T85)*0.27</f>
        <v>793437</v>
      </c>
      <c r="V85" s="1351">
        <v>3732091</v>
      </c>
      <c r="W85" s="451">
        <f t="shared" si="44"/>
        <v>0</v>
      </c>
      <c r="X85" s="660">
        <f t="shared" si="44"/>
        <v>0</v>
      </c>
      <c r="Y85" s="1352">
        <v>3732091</v>
      </c>
      <c r="Z85" s="1348">
        <v>2938654</v>
      </c>
      <c r="AA85" s="1347">
        <v>793437</v>
      </c>
      <c r="AB85" s="1348">
        <v>3732091</v>
      </c>
      <c r="AC85" s="1137"/>
      <c r="AD85" s="1347"/>
    </row>
    <row r="86" spans="1:30" s="293" customFormat="1" ht="15" customHeight="1">
      <c r="A86" s="1376"/>
      <c r="B86" s="1369" t="s">
        <v>1005</v>
      </c>
      <c r="C86" s="1344"/>
      <c r="D86" s="1345"/>
      <c r="E86" s="1346"/>
      <c r="F86" s="1345"/>
      <c r="G86" s="1345"/>
      <c r="H86" s="1346"/>
      <c r="I86" s="1347">
        <f>SUM(L86:P86)</f>
        <v>0</v>
      </c>
      <c r="J86" s="1348">
        <f>SUM(I86)/1.27</f>
        <v>0</v>
      </c>
      <c r="K86" s="1347">
        <f>SUM(J86)*0.27</f>
        <v>0</v>
      </c>
      <c r="L86" s="1137"/>
      <c r="M86" s="1137">
        <v>0</v>
      </c>
      <c r="N86" s="1347">
        <v>0</v>
      </c>
      <c r="O86" s="1349">
        <f>SUM(P86:R86)</f>
        <v>0</v>
      </c>
      <c r="P86" s="1252"/>
      <c r="Q86" s="1252"/>
      <c r="R86" s="1252"/>
      <c r="S86" s="1350">
        <f>SUM(V86:X86)</f>
        <v>2540000</v>
      </c>
      <c r="T86" s="1351">
        <f>SUM(S86)/1.27</f>
        <v>2000000</v>
      </c>
      <c r="U86" s="660">
        <f>SUM(T86)*0.27</f>
        <v>540000</v>
      </c>
      <c r="V86" s="1351">
        <v>2540000</v>
      </c>
      <c r="W86" s="451">
        <f t="shared" si="44"/>
        <v>0</v>
      </c>
      <c r="X86" s="660">
        <f t="shared" si="44"/>
        <v>0</v>
      </c>
      <c r="Y86" s="1352">
        <v>0</v>
      </c>
      <c r="Z86" s="1348">
        <v>0</v>
      </c>
      <c r="AA86" s="1347">
        <v>0</v>
      </c>
      <c r="AB86" s="1348">
        <v>0</v>
      </c>
      <c r="AC86" s="1137"/>
      <c r="AD86" s="1347"/>
    </row>
    <row r="87" spans="1:30" s="293" customFormat="1" ht="15" customHeight="1">
      <c r="A87" s="1376"/>
      <c r="B87" s="1369" t="s">
        <v>1006</v>
      </c>
      <c r="C87" s="1344"/>
      <c r="D87" s="1345"/>
      <c r="E87" s="1346"/>
      <c r="F87" s="1345"/>
      <c r="G87" s="1345"/>
      <c r="H87" s="1346"/>
      <c r="I87" s="1347">
        <f>SUM(L87:P87)</f>
        <v>0</v>
      </c>
      <c r="J87" s="1348">
        <f>SUM(I87)/1.27</f>
        <v>0</v>
      </c>
      <c r="K87" s="1347">
        <f>SUM(J87)*0.27</f>
        <v>0</v>
      </c>
      <c r="L87" s="1137">
        <v>0</v>
      </c>
      <c r="M87" s="1137">
        <v>0</v>
      </c>
      <c r="N87" s="1347">
        <v>0</v>
      </c>
      <c r="O87" s="1349">
        <f>SUM(P87:R87)</f>
        <v>0</v>
      </c>
      <c r="P87" s="1252"/>
      <c r="Q87" s="1252"/>
      <c r="R87" s="1252"/>
      <c r="S87" s="1350">
        <f>SUM(V87:X87)</f>
        <v>2286000</v>
      </c>
      <c r="T87" s="1351">
        <f>SUM(S87)/1.27</f>
        <v>1800000</v>
      </c>
      <c r="U87" s="660">
        <f>SUM(T87)*0.27</f>
        <v>486000</v>
      </c>
      <c r="V87" s="1351">
        <v>2286000</v>
      </c>
      <c r="W87" s="451">
        <f t="shared" si="44"/>
        <v>0</v>
      </c>
      <c r="X87" s="660">
        <f t="shared" si="44"/>
        <v>0</v>
      </c>
      <c r="Y87" s="1352">
        <v>0</v>
      </c>
      <c r="Z87" s="1348">
        <v>0</v>
      </c>
      <c r="AA87" s="1347">
        <v>0</v>
      </c>
      <c r="AB87" s="1348">
        <v>0</v>
      </c>
      <c r="AC87" s="1137"/>
      <c r="AD87" s="1347"/>
    </row>
    <row r="88" spans="1:30" s="293" customFormat="1" ht="15" customHeight="1">
      <c r="A88" s="1376"/>
      <c r="B88" s="1343"/>
      <c r="C88" s="1344"/>
      <c r="D88" s="1345"/>
      <c r="E88" s="1346"/>
      <c r="F88" s="1345"/>
      <c r="G88" s="1345"/>
      <c r="H88" s="1346"/>
      <c r="I88" s="1347">
        <f>SUM(L88:P88)</f>
        <v>0</v>
      </c>
      <c r="J88" s="1348">
        <f>SUM(I88)/1.27</f>
        <v>0</v>
      </c>
      <c r="K88" s="1347">
        <f>SUM(J88)*0.27</f>
        <v>0</v>
      </c>
      <c r="L88" s="1137">
        <v>0</v>
      </c>
      <c r="M88" s="1137">
        <v>0</v>
      </c>
      <c r="N88" s="1347">
        <v>0</v>
      </c>
      <c r="O88" s="1349">
        <f>SUM(P88:R88)</f>
        <v>0</v>
      </c>
      <c r="P88" s="1252"/>
      <c r="Q88" s="1252"/>
      <c r="R88" s="1252"/>
      <c r="S88" s="1350">
        <f>SUM(V88:X88)</f>
        <v>0</v>
      </c>
      <c r="T88" s="1351">
        <f>SUM(S88)/1.27</f>
        <v>0</v>
      </c>
      <c r="U88" s="660">
        <f>SUM(T88)*0.27</f>
        <v>0</v>
      </c>
      <c r="V88" s="1351">
        <f>SUM(L88+P88)</f>
        <v>0</v>
      </c>
      <c r="W88" s="451">
        <f t="shared" si="44"/>
        <v>0</v>
      </c>
      <c r="X88" s="660">
        <f t="shared" si="44"/>
        <v>0</v>
      </c>
      <c r="Y88" s="1352"/>
      <c r="Z88" s="1348"/>
      <c r="AA88" s="1347"/>
      <c r="AB88" s="1348"/>
      <c r="AC88" s="1137"/>
      <c r="AD88" s="1347"/>
    </row>
    <row r="89" spans="1:30" s="293" customFormat="1" ht="10.5" customHeight="1">
      <c r="A89" s="1376"/>
      <c r="B89" s="1343"/>
      <c r="C89" s="1344"/>
      <c r="D89" s="1345"/>
      <c r="E89" s="1346"/>
      <c r="F89" s="1345"/>
      <c r="G89" s="1345"/>
      <c r="H89" s="1346"/>
      <c r="I89" s="1347"/>
      <c r="J89" s="1348"/>
      <c r="K89" s="1347"/>
      <c r="L89" s="1137"/>
      <c r="M89" s="1137"/>
      <c r="N89" s="1347"/>
      <c r="O89" s="1386"/>
      <c r="P89" s="1387"/>
      <c r="Q89" s="1388"/>
      <c r="R89" s="1388"/>
      <c r="S89" s="1350"/>
      <c r="T89" s="1351"/>
      <c r="U89" s="660"/>
      <c r="V89" s="1351"/>
      <c r="W89" s="451"/>
      <c r="X89" s="660"/>
      <c r="Y89" s="1352"/>
      <c r="Z89" s="1348"/>
      <c r="AA89" s="1347"/>
      <c r="AB89" s="1348"/>
      <c r="AC89" s="1137"/>
      <c r="AD89" s="1347"/>
    </row>
    <row r="90" spans="1:30" s="293" customFormat="1" ht="15" customHeight="1">
      <c r="A90" s="1328" t="s">
        <v>295</v>
      </c>
      <c r="B90" s="1329"/>
      <c r="C90" s="1330">
        <f t="shared" ref="C90:R90" si="45">SUM(C91:C93)</f>
        <v>3175000</v>
      </c>
      <c r="D90" s="1331">
        <f t="shared" si="45"/>
        <v>2500000</v>
      </c>
      <c r="E90" s="1332">
        <f t="shared" si="45"/>
        <v>675000</v>
      </c>
      <c r="F90" s="1331">
        <f t="shared" si="45"/>
        <v>3175000</v>
      </c>
      <c r="G90" s="1331">
        <f t="shared" si="45"/>
        <v>0</v>
      </c>
      <c r="H90" s="1332">
        <f t="shared" si="45"/>
        <v>0</v>
      </c>
      <c r="I90" s="1333">
        <f t="shared" si="45"/>
        <v>10794591</v>
      </c>
      <c r="J90" s="1334">
        <f t="shared" si="45"/>
        <v>8499678</v>
      </c>
      <c r="K90" s="1333">
        <f t="shared" si="45"/>
        <v>2294913</v>
      </c>
      <c r="L90" s="1335">
        <f t="shared" si="45"/>
        <v>10794591</v>
      </c>
      <c r="M90" s="1335">
        <f t="shared" si="45"/>
        <v>0</v>
      </c>
      <c r="N90" s="1333">
        <f t="shared" si="45"/>
        <v>0</v>
      </c>
      <c r="O90" s="1336">
        <f t="shared" si="45"/>
        <v>2222500</v>
      </c>
      <c r="P90" s="1337">
        <f t="shared" si="45"/>
        <v>2222500</v>
      </c>
      <c r="Q90" s="1337">
        <f t="shared" si="45"/>
        <v>0</v>
      </c>
      <c r="R90" s="1337">
        <f t="shared" si="45"/>
        <v>0</v>
      </c>
      <c r="S90" s="1338">
        <f>SUM(S91:S94)</f>
        <v>14636491</v>
      </c>
      <c r="T90" s="1339">
        <f>SUM(T91:T94)</f>
        <v>11734078</v>
      </c>
      <c r="U90" s="1340">
        <f>SUM(U91:U94)</f>
        <v>2902413</v>
      </c>
      <c r="V90" s="1339">
        <f>SUM(V91:V94)</f>
        <v>14636491</v>
      </c>
      <c r="W90" s="1341">
        <f t="shared" ref="W90:AD90" si="46">SUM(W91:W93)</f>
        <v>0</v>
      </c>
      <c r="X90" s="1340">
        <f t="shared" si="46"/>
        <v>0</v>
      </c>
      <c r="Y90" s="1342">
        <f t="shared" si="46"/>
        <v>10716128</v>
      </c>
      <c r="Z90" s="1334">
        <f t="shared" si="46"/>
        <v>8647178</v>
      </c>
      <c r="AA90" s="1333">
        <f t="shared" si="46"/>
        <v>2068950</v>
      </c>
      <c r="AB90" s="1334">
        <f t="shared" si="46"/>
        <v>10716128</v>
      </c>
      <c r="AC90" s="1335">
        <f t="shared" si="46"/>
        <v>0</v>
      </c>
      <c r="AD90" s="1333">
        <f t="shared" si="46"/>
        <v>0</v>
      </c>
    </row>
    <row r="91" spans="1:30" s="293" customFormat="1" ht="29.25" customHeight="1">
      <c r="A91" s="1376"/>
      <c r="B91" s="1343" t="s">
        <v>1007</v>
      </c>
      <c r="C91" s="1344">
        <f>D91+E91</f>
        <v>3175000</v>
      </c>
      <c r="D91" s="1345">
        <v>2500000</v>
      </c>
      <c r="E91" s="1346">
        <v>675000</v>
      </c>
      <c r="F91" s="1345">
        <v>3175000</v>
      </c>
      <c r="G91" s="1345">
        <v>0</v>
      </c>
      <c r="H91" s="1346">
        <v>0</v>
      </c>
      <c r="I91" s="1347">
        <f>SUM(L91:N91)</f>
        <v>3175000</v>
      </c>
      <c r="J91" s="1348">
        <f>SUM(I91)/1.27</f>
        <v>2500000</v>
      </c>
      <c r="K91" s="1347">
        <f>SUM(J91)*0.27</f>
        <v>675000</v>
      </c>
      <c r="L91" s="1137">
        <v>3175000</v>
      </c>
      <c r="M91" s="1137">
        <v>0</v>
      </c>
      <c r="N91" s="1347">
        <v>0</v>
      </c>
      <c r="O91" s="1349">
        <f>SUM(P91:R91)</f>
        <v>0</v>
      </c>
      <c r="P91" s="1252"/>
      <c r="Q91" s="1252"/>
      <c r="R91" s="1252"/>
      <c r="S91" s="1350">
        <f>SUM(V91:X91)</f>
        <v>984400</v>
      </c>
      <c r="T91" s="1351">
        <f>SUM(S91)</f>
        <v>984400</v>
      </c>
      <c r="U91" s="660">
        <v>0</v>
      </c>
      <c r="V91" s="1351">
        <v>984400</v>
      </c>
      <c r="W91" s="451">
        <f t="shared" ref="W91:X93" si="47">SUM(M91+Q91)</f>
        <v>0</v>
      </c>
      <c r="X91" s="660">
        <f t="shared" si="47"/>
        <v>0</v>
      </c>
      <c r="Y91" s="1352">
        <v>984400</v>
      </c>
      <c r="Z91" s="1348">
        <v>984400</v>
      </c>
      <c r="AA91" s="1347">
        <v>0</v>
      </c>
      <c r="AB91" s="1348">
        <v>984400</v>
      </c>
      <c r="AC91" s="1137"/>
      <c r="AD91" s="1347"/>
    </row>
    <row r="92" spans="1:30" s="293" customFormat="1" ht="15" customHeight="1">
      <c r="A92" s="1376"/>
      <c r="B92" s="1343" t="s">
        <v>1008</v>
      </c>
      <c r="C92" s="1344">
        <f>D92+E92</f>
        <v>0</v>
      </c>
      <c r="D92" s="1345"/>
      <c r="E92" s="1346"/>
      <c r="F92" s="1345"/>
      <c r="G92" s="1345"/>
      <c r="H92" s="1346"/>
      <c r="I92" s="1347">
        <f>SUM(L92:N92)</f>
        <v>7619591</v>
      </c>
      <c r="J92" s="1348">
        <f>SUM(I92)/1.27</f>
        <v>5999678</v>
      </c>
      <c r="K92" s="1347">
        <f>SUM(J92)*0.27</f>
        <v>1619913</v>
      </c>
      <c r="L92" s="1137">
        <v>7619591</v>
      </c>
      <c r="M92" s="1137">
        <v>0</v>
      </c>
      <c r="N92" s="1347">
        <v>0</v>
      </c>
      <c r="O92" s="1349">
        <f>SUM(P92:R92)</f>
        <v>0</v>
      </c>
      <c r="P92" s="1252"/>
      <c r="Q92" s="1252"/>
      <c r="R92" s="1252"/>
      <c r="S92" s="1350">
        <f>SUM(V92:X92)</f>
        <v>7619591</v>
      </c>
      <c r="T92" s="1351">
        <f>SUM(S92)/1.27</f>
        <v>5999678</v>
      </c>
      <c r="U92" s="660">
        <f>SUM(T92)*0.27</f>
        <v>1619913</v>
      </c>
      <c r="V92" s="1351">
        <f>SUM(L92+P92)</f>
        <v>7619591</v>
      </c>
      <c r="W92" s="451">
        <f t="shared" si="47"/>
        <v>0</v>
      </c>
      <c r="X92" s="660">
        <f t="shared" si="47"/>
        <v>0</v>
      </c>
      <c r="Y92" s="1352">
        <v>7619591</v>
      </c>
      <c r="Z92" s="1348">
        <v>5999678</v>
      </c>
      <c r="AA92" s="1347">
        <v>1619913</v>
      </c>
      <c r="AB92" s="1348">
        <v>7619591</v>
      </c>
      <c r="AC92" s="1137"/>
      <c r="AD92" s="1347"/>
    </row>
    <row r="93" spans="1:30" s="293" customFormat="1" ht="15" customHeight="1">
      <c r="A93" s="1376"/>
      <c r="B93" s="1343" t="s">
        <v>1009</v>
      </c>
      <c r="C93" s="1344">
        <f>D93+E93</f>
        <v>0</v>
      </c>
      <c r="D93" s="1345"/>
      <c r="E93" s="1346"/>
      <c r="F93" s="1345"/>
      <c r="G93" s="1345"/>
      <c r="H93" s="1346"/>
      <c r="I93" s="1347">
        <f>SUM(L93:N93)</f>
        <v>0</v>
      </c>
      <c r="J93" s="1348">
        <f>SUM(I93)/1.25</f>
        <v>0</v>
      </c>
      <c r="K93" s="1347">
        <f>SUM(J93)*0.25</f>
        <v>0</v>
      </c>
      <c r="L93" s="1137">
        <v>0</v>
      </c>
      <c r="M93" s="1137">
        <v>0</v>
      </c>
      <c r="N93" s="1347">
        <v>0</v>
      </c>
      <c r="O93" s="1349">
        <f>SUM(P93:R93)</f>
        <v>2222500</v>
      </c>
      <c r="P93" s="1252">
        <v>2222500</v>
      </c>
      <c r="Q93" s="1252"/>
      <c r="R93" s="1252"/>
      <c r="S93" s="1350">
        <f>SUM(V93:X93)</f>
        <v>2222500</v>
      </c>
      <c r="T93" s="1351">
        <f>SUM(S93)/1.27</f>
        <v>1750000</v>
      </c>
      <c r="U93" s="660">
        <f>SUM(T93)*0.27</f>
        <v>472500</v>
      </c>
      <c r="V93" s="1351">
        <f>SUM(L93+P93)</f>
        <v>2222500</v>
      </c>
      <c r="W93" s="451">
        <f t="shared" si="47"/>
        <v>0</v>
      </c>
      <c r="X93" s="660">
        <f t="shared" si="47"/>
        <v>0</v>
      </c>
      <c r="Y93" s="1352">
        <v>2112137</v>
      </c>
      <c r="Z93" s="1348">
        <v>1663100</v>
      </c>
      <c r="AA93" s="1347">
        <v>449037</v>
      </c>
      <c r="AB93" s="1348">
        <v>2112137</v>
      </c>
      <c r="AC93" s="1137"/>
      <c r="AD93" s="1347"/>
    </row>
    <row r="94" spans="1:30" s="293" customFormat="1" ht="15" customHeight="1">
      <c r="A94" s="1376"/>
      <c r="B94" s="1369" t="s">
        <v>1010</v>
      </c>
      <c r="C94" s="1344"/>
      <c r="D94" s="1345"/>
      <c r="E94" s="1346"/>
      <c r="F94" s="1345"/>
      <c r="G94" s="1345"/>
      <c r="H94" s="1346"/>
      <c r="I94" s="1347"/>
      <c r="J94" s="1348"/>
      <c r="K94" s="1347"/>
      <c r="L94" s="1137"/>
      <c r="M94" s="1137"/>
      <c r="N94" s="1347"/>
      <c r="O94" s="1349"/>
      <c r="P94" s="1252"/>
      <c r="Q94" s="1252"/>
      <c r="R94" s="1252"/>
      <c r="S94" s="1350">
        <f>SUM(V94:X94)</f>
        <v>3810000</v>
      </c>
      <c r="T94" s="1351">
        <f>SUM(S94)/1.27</f>
        <v>3000000</v>
      </c>
      <c r="U94" s="660">
        <f>SUM(T94)*0.27</f>
        <v>810000</v>
      </c>
      <c r="V94" s="1351">
        <v>3810000</v>
      </c>
      <c r="W94" s="451"/>
      <c r="X94" s="660"/>
      <c r="Y94" s="1352">
        <v>0</v>
      </c>
      <c r="Z94" s="1348">
        <v>0</v>
      </c>
      <c r="AA94" s="1347">
        <v>0</v>
      </c>
      <c r="AB94" s="1348">
        <v>0</v>
      </c>
      <c r="AC94" s="1137"/>
      <c r="AD94" s="1347"/>
    </row>
    <row r="95" spans="1:30" s="293" customFormat="1" ht="15" customHeight="1">
      <c r="A95" s="1376"/>
      <c r="B95" s="1343"/>
      <c r="C95" s="1344"/>
      <c r="D95" s="1345"/>
      <c r="E95" s="1346"/>
      <c r="F95" s="1345"/>
      <c r="G95" s="1345"/>
      <c r="H95" s="1346"/>
      <c r="I95" s="1347"/>
      <c r="J95" s="1348"/>
      <c r="K95" s="1347"/>
      <c r="L95" s="1137"/>
      <c r="M95" s="1137"/>
      <c r="N95" s="1347"/>
      <c r="O95" s="1372"/>
      <c r="P95" s="451"/>
      <c r="Q95" s="451"/>
      <c r="R95" s="451"/>
      <c r="S95" s="1350"/>
      <c r="T95" s="1351"/>
      <c r="U95" s="660"/>
      <c r="V95" s="1351"/>
      <c r="W95" s="451"/>
      <c r="X95" s="660"/>
      <c r="Y95" s="1352"/>
      <c r="Z95" s="1348"/>
      <c r="AA95" s="1347"/>
      <c r="AB95" s="1348"/>
      <c r="AC95" s="1137"/>
      <c r="AD95" s="1347"/>
    </row>
    <row r="96" spans="1:30" s="293" customFormat="1" ht="15" customHeight="1">
      <c r="A96" s="1328" t="s">
        <v>296</v>
      </c>
      <c r="B96" s="1329"/>
      <c r="C96" s="1330"/>
      <c r="D96" s="1331"/>
      <c r="E96" s="1332"/>
      <c r="F96" s="1331"/>
      <c r="G96" s="1331"/>
      <c r="H96" s="1332"/>
      <c r="I96" s="1333">
        <f t="shared" ref="I96:AD96" si="48">SUM(I97:I98)</f>
        <v>0</v>
      </c>
      <c r="J96" s="1334">
        <f t="shared" si="48"/>
        <v>0</v>
      </c>
      <c r="K96" s="1333">
        <f t="shared" si="48"/>
        <v>0</v>
      </c>
      <c r="L96" s="1335">
        <f t="shared" si="48"/>
        <v>0</v>
      </c>
      <c r="M96" s="1335">
        <f t="shared" si="48"/>
        <v>0</v>
      </c>
      <c r="N96" s="1333">
        <f t="shared" si="48"/>
        <v>0</v>
      </c>
      <c r="O96" s="1336">
        <f t="shared" si="48"/>
        <v>0</v>
      </c>
      <c r="P96" s="1337">
        <f t="shared" si="48"/>
        <v>0</v>
      </c>
      <c r="Q96" s="1337">
        <f t="shared" si="48"/>
        <v>0</v>
      </c>
      <c r="R96" s="1337">
        <f t="shared" si="48"/>
        <v>0</v>
      </c>
      <c r="S96" s="1338">
        <f t="shared" si="48"/>
        <v>0</v>
      </c>
      <c r="T96" s="1339">
        <f t="shared" si="48"/>
        <v>0</v>
      </c>
      <c r="U96" s="1340">
        <f t="shared" si="48"/>
        <v>0</v>
      </c>
      <c r="V96" s="1339">
        <f t="shared" si="48"/>
        <v>0</v>
      </c>
      <c r="W96" s="1341">
        <f t="shared" si="48"/>
        <v>0</v>
      </c>
      <c r="X96" s="1340">
        <f t="shared" si="48"/>
        <v>0</v>
      </c>
      <c r="Y96" s="1342">
        <f t="shared" si="48"/>
        <v>0</v>
      </c>
      <c r="Z96" s="1334">
        <f t="shared" si="48"/>
        <v>0</v>
      </c>
      <c r="AA96" s="1333">
        <f t="shared" si="48"/>
        <v>0</v>
      </c>
      <c r="AB96" s="1334">
        <f t="shared" si="48"/>
        <v>0</v>
      </c>
      <c r="AC96" s="1335">
        <f t="shared" si="48"/>
        <v>0</v>
      </c>
      <c r="AD96" s="1333">
        <f t="shared" si="48"/>
        <v>0</v>
      </c>
    </row>
    <row r="97" spans="1:30" s="293" customFormat="1" ht="15" customHeight="1">
      <c r="A97" s="1389"/>
      <c r="B97" s="1343" t="s">
        <v>1011</v>
      </c>
      <c r="C97" s="1344"/>
      <c r="D97" s="1345"/>
      <c r="E97" s="1346"/>
      <c r="F97" s="1345"/>
      <c r="G97" s="1345"/>
      <c r="H97" s="1346"/>
      <c r="I97" s="1347">
        <f>SUM(L97:N97)</f>
        <v>0</v>
      </c>
      <c r="J97" s="1348">
        <f>SUM(I97)/1.27</f>
        <v>0</v>
      </c>
      <c r="K97" s="1347">
        <f>SUM(J97)*0.27</f>
        <v>0</v>
      </c>
      <c r="L97" s="1137"/>
      <c r="M97" s="1137">
        <v>0</v>
      </c>
      <c r="N97" s="1347">
        <v>0</v>
      </c>
      <c r="O97" s="1349">
        <f>SUM(P97:R97)</f>
        <v>0</v>
      </c>
      <c r="P97" s="1252"/>
      <c r="Q97" s="1252"/>
      <c r="R97" s="1252"/>
      <c r="S97" s="1350">
        <f>SUM(V97:X97)</f>
        <v>0</v>
      </c>
      <c r="T97" s="1351">
        <f>SUM(S97)/1.27</f>
        <v>0</v>
      </c>
      <c r="U97" s="660">
        <f>SUM(T97)*0.27</f>
        <v>0</v>
      </c>
      <c r="V97" s="1351">
        <f t="shared" ref="V97:X98" si="49">SUM(L97+P97)</f>
        <v>0</v>
      </c>
      <c r="W97" s="451">
        <f t="shared" si="49"/>
        <v>0</v>
      </c>
      <c r="X97" s="660">
        <f t="shared" si="49"/>
        <v>0</v>
      </c>
      <c r="Y97" s="1352">
        <v>0</v>
      </c>
      <c r="Z97" s="1348">
        <v>0</v>
      </c>
      <c r="AA97" s="1347">
        <v>0</v>
      </c>
      <c r="AB97" s="1348">
        <v>0</v>
      </c>
      <c r="AC97" s="1137"/>
      <c r="AD97" s="1347"/>
    </row>
    <row r="98" spans="1:30" s="293" customFormat="1" ht="15" customHeight="1">
      <c r="A98" s="1389"/>
      <c r="B98" s="1343"/>
      <c r="C98" s="1344"/>
      <c r="D98" s="1345"/>
      <c r="E98" s="1346"/>
      <c r="F98" s="1345"/>
      <c r="G98" s="1345"/>
      <c r="H98" s="1346"/>
      <c r="I98" s="1347">
        <f>SUM(L98:P98)</f>
        <v>0</v>
      </c>
      <c r="J98" s="1348">
        <f>SUM(I98)/1.27</f>
        <v>0</v>
      </c>
      <c r="K98" s="1347">
        <f>SUM(J98)*0.27</f>
        <v>0</v>
      </c>
      <c r="L98" s="1137">
        <v>0</v>
      </c>
      <c r="M98" s="1137">
        <v>0</v>
      </c>
      <c r="N98" s="1347">
        <v>0</v>
      </c>
      <c r="O98" s="1349">
        <f>SUM(P98:R98)</f>
        <v>0</v>
      </c>
      <c r="P98" s="1252"/>
      <c r="Q98" s="1252"/>
      <c r="R98" s="1252"/>
      <c r="S98" s="1350">
        <f>SUM(V98:X98)</f>
        <v>0</v>
      </c>
      <c r="T98" s="1351">
        <f>SUM(S98)/1.27</f>
        <v>0</v>
      </c>
      <c r="U98" s="660">
        <f>SUM(T98)*0.27</f>
        <v>0</v>
      </c>
      <c r="V98" s="1351">
        <f t="shared" si="49"/>
        <v>0</v>
      </c>
      <c r="W98" s="451">
        <f t="shared" si="49"/>
        <v>0</v>
      </c>
      <c r="X98" s="660">
        <f t="shared" si="49"/>
        <v>0</v>
      </c>
      <c r="Y98" s="1352"/>
      <c r="Z98" s="1348"/>
      <c r="AA98" s="1347"/>
      <c r="AB98" s="1348"/>
      <c r="AC98" s="1137"/>
      <c r="AD98" s="1347"/>
    </row>
    <row r="99" spans="1:30" s="293" customFormat="1" ht="7.5" customHeight="1">
      <c r="A99" s="1389"/>
      <c r="B99" s="1343"/>
      <c r="C99" s="1344"/>
      <c r="D99" s="1345"/>
      <c r="E99" s="1346"/>
      <c r="F99" s="1345"/>
      <c r="G99" s="1345"/>
      <c r="H99" s="1346"/>
      <c r="I99" s="1347"/>
      <c r="J99" s="1348"/>
      <c r="K99" s="1347"/>
      <c r="L99" s="1137"/>
      <c r="M99" s="1137"/>
      <c r="N99" s="1347"/>
      <c r="O99" s="1390"/>
      <c r="P99" s="1391"/>
      <c r="Q99" s="451"/>
      <c r="R99" s="451"/>
      <c r="S99" s="1350"/>
      <c r="T99" s="1351"/>
      <c r="U99" s="660"/>
      <c r="V99" s="1351"/>
      <c r="W99" s="451"/>
      <c r="X99" s="660"/>
      <c r="Y99" s="1352"/>
      <c r="Z99" s="1348"/>
      <c r="AA99" s="1347"/>
      <c r="AB99" s="1348"/>
      <c r="AC99" s="1137"/>
      <c r="AD99" s="1347"/>
    </row>
    <row r="100" spans="1:30" s="293" customFormat="1" ht="15" customHeight="1">
      <c r="A100" s="1376"/>
      <c r="B100" s="1343"/>
      <c r="C100" s="1344"/>
      <c r="D100" s="1345"/>
      <c r="E100" s="1346"/>
      <c r="F100" s="1345"/>
      <c r="G100" s="1345"/>
      <c r="H100" s="1346"/>
      <c r="I100" s="1347"/>
      <c r="J100" s="1348"/>
      <c r="K100" s="1347"/>
      <c r="L100" s="1137"/>
      <c r="M100" s="1137"/>
      <c r="N100" s="1347"/>
      <c r="O100" s="1349"/>
      <c r="P100" s="1252"/>
      <c r="Q100" s="1252"/>
      <c r="R100" s="1252"/>
      <c r="S100" s="1350"/>
      <c r="T100" s="1351"/>
      <c r="U100" s="660"/>
      <c r="V100" s="1351"/>
      <c r="W100" s="451"/>
      <c r="X100" s="660"/>
      <c r="Y100" s="1352"/>
      <c r="Z100" s="1348"/>
      <c r="AA100" s="1347"/>
      <c r="AB100" s="1348"/>
      <c r="AC100" s="1137"/>
      <c r="AD100" s="1347"/>
    </row>
    <row r="101" spans="1:30" s="293" customFormat="1" ht="9" customHeight="1">
      <c r="A101" s="1389"/>
      <c r="B101" s="1343"/>
      <c r="C101" s="1344"/>
      <c r="D101" s="1345"/>
      <c r="E101" s="1346"/>
      <c r="F101" s="1345"/>
      <c r="G101" s="1345"/>
      <c r="H101" s="1346"/>
      <c r="I101" s="1347"/>
      <c r="J101" s="1348"/>
      <c r="K101" s="1347"/>
      <c r="L101" s="1137"/>
      <c r="M101" s="1137"/>
      <c r="N101" s="1347"/>
      <c r="O101" s="1392"/>
      <c r="P101" s="1778"/>
      <c r="Q101" s="1778"/>
      <c r="R101" s="1778"/>
      <c r="S101" s="1350"/>
      <c r="T101" s="1351"/>
      <c r="U101" s="660"/>
      <c r="V101" s="1351"/>
      <c r="W101" s="451"/>
      <c r="X101" s="660"/>
      <c r="Y101" s="1352"/>
      <c r="Z101" s="1348"/>
      <c r="AA101" s="1347"/>
      <c r="AB101" s="1348"/>
      <c r="AC101" s="1137"/>
      <c r="AD101" s="1347"/>
    </row>
    <row r="102" spans="1:30" s="293" customFormat="1" ht="15" customHeight="1">
      <c r="A102" s="1328" t="s">
        <v>395</v>
      </c>
      <c r="B102" s="1329"/>
      <c r="C102" s="1330">
        <f t="shared" ref="C102:AD102" si="50">SUM(C103:C108)</f>
        <v>27940000</v>
      </c>
      <c r="D102" s="1331">
        <f t="shared" si="50"/>
        <v>22000000</v>
      </c>
      <c r="E102" s="1332">
        <f t="shared" si="50"/>
        <v>5940000</v>
      </c>
      <c r="F102" s="1331">
        <f t="shared" si="50"/>
        <v>27940000</v>
      </c>
      <c r="G102" s="1331">
        <f t="shared" si="50"/>
        <v>0</v>
      </c>
      <c r="H102" s="1332">
        <f t="shared" si="50"/>
        <v>0</v>
      </c>
      <c r="I102" s="1333">
        <f t="shared" si="50"/>
        <v>27940000</v>
      </c>
      <c r="J102" s="1334">
        <f t="shared" si="50"/>
        <v>22000000</v>
      </c>
      <c r="K102" s="1333">
        <f t="shared" si="50"/>
        <v>5940000</v>
      </c>
      <c r="L102" s="1335">
        <f t="shared" si="50"/>
        <v>27940000</v>
      </c>
      <c r="M102" s="1335">
        <f t="shared" si="50"/>
        <v>0</v>
      </c>
      <c r="N102" s="1333">
        <f t="shared" si="50"/>
        <v>0</v>
      </c>
      <c r="O102" s="1393">
        <f t="shared" si="50"/>
        <v>0</v>
      </c>
      <c r="P102" s="1394">
        <f t="shared" si="50"/>
        <v>0</v>
      </c>
      <c r="Q102" s="1337">
        <f t="shared" si="50"/>
        <v>0</v>
      </c>
      <c r="R102" s="1337">
        <f t="shared" si="50"/>
        <v>0</v>
      </c>
      <c r="S102" s="1338">
        <f t="shared" si="50"/>
        <v>28540178</v>
      </c>
      <c r="T102" s="1339">
        <f t="shared" si="50"/>
        <v>22472581</v>
      </c>
      <c r="U102" s="1340">
        <f t="shared" si="50"/>
        <v>6067597</v>
      </c>
      <c r="V102" s="1339">
        <f t="shared" si="50"/>
        <v>28540178</v>
      </c>
      <c r="W102" s="1341">
        <f t="shared" si="50"/>
        <v>0</v>
      </c>
      <c r="X102" s="1340">
        <f t="shared" si="50"/>
        <v>0</v>
      </c>
      <c r="Y102" s="1342">
        <f t="shared" si="50"/>
        <v>27905178</v>
      </c>
      <c r="Z102" s="1334">
        <f t="shared" si="50"/>
        <v>21972581</v>
      </c>
      <c r="AA102" s="1333">
        <f t="shared" si="50"/>
        <v>5932597</v>
      </c>
      <c r="AB102" s="1334">
        <f t="shared" si="50"/>
        <v>27905178</v>
      </c>
      <c r="AC102" s="1335">
        <f t="shared" si="50"/>
        <v>0</v>
      </c>
      <c r="AD102" s="1333">
        <f t="shared" si="50"/>
        <v>0</v>
      </c>
    </row>
    <row r="103" spans="1:30" s="293" customFormat="1" ht="39" customHeight="1">
      <c r="A103" s="1389"/>
      <c r="B103" s="1343" t="s">
        <v>1012</v>
      </c>
      <c r="C103" s="1344">
        <f>D103+E103</f>
        <v>21590000</v>
      </c>
      <c r="D103" s="1345">
        <v>17000000</v>
      </c>
      <c r="E103" s="1346">
        <v>4590000</v>
      </c>
      <c r="F103" s="1345">
        <v>21590000</v>
      </c>
      <c r="G103" s="1345">
        <v>0</v>
      </c>
      <c r="H103" s="1346">
        <v>0</v>
      </c>
      <c r="I103" s="1347">
        <f>SUM(L103:N103)</f>
        <v>21590000</v>
      </c>
      <c r="J103" s="1348">
        <f>SUM(I103)/1.27</f>
        <v>17000000</v>
      </c>
      <c r="K103" s="1347">
        <f>SUM(J103)*0.27</f>
        <v>4590000</v>
      </c>
      <c r="L103" s="1137">
        <v>21590000</v>
      </c>
      <c r="M103" s="1137">
        <v>0</v>
      </c>
      <c r="N103" s="1347">
        <v>0</v>
      </c>
      <c r="O103" s="1349">
        <f>SUM(P103:R103)</f>
        <v>0</v>
      </c>
      <c r="P103" s="1252"/>
      <c r="Q103" s="1252"/>
      <c r="R103" s="1252"/>
      <c r="S103" s="1350">
        <f>SUM(V103:X103)</f>
        <v>21306979</v>
      </c>
      <c r="T103" s="1351">
        <f>SUM(S103)/1.27</f>
        <v>16777149</v>
      </c>
      <c r="U103" s="660">
        <f>SUM(T103)*0.27</f>
        <v>4529830</v>
      </c>
      <c r="V103" s="1351">
        <v>21306979</v>
      </c>
      <c r="W103" s="451">
        <f t="shared" ref="W103:X107" si="51">SUM(M103+Q103)</f>
        <v>0</v>
      </c>
      <c r="X103" s="660">
        <f t="shared" si="51"/>
        <v>0</v>
      </c>
      <c r="Y103" s="1352">
        <v>21306979</v>
      </c>
      <c r="Z103" s="1348">
        <v>16777149</v>
      </c>
      <c r="AA103" s="1347">
        <v>4529830</v>
      </c>
      <c r="AB103" s="1348">
        <v>21306979</v>
      </c>
      <c r="AC103" s="1137"/>
      <c r="AD103" s="1347"/>
    </row>
    <row r="104" spans="1:30" s="293" customFormat="1" ht="15" customHeight="1">
      <c r="A104" s="1389"/>
      <c r="B104" s="1343" t="s">
        <v>1013</v>
      </c>
      <c r="C104" s="1344">
        <f>D104+E104</f>
        <v>6350000</v>
      </c>
      <c r="D104" s="1345">
        <v>5000000</v>
      </c>
      <c r="E104" s="1346">
        <v>1350000</v>
      </c>
      <c r="F104" s="1345">
        <v>6350000</v>
      </c>
      <c r="G104" s="1345">
        <v>0</v>
      </c>
      <c r="H104" s="1346">
        <v>0</v>
      </c>
      <c r="I104" s="1347">
        <f>SUM(L104:N104)</f>
        <v>6350000</v>
      </c>
      <c r="J104" s="1348">
        <f>SUM(I104)/1.27</f>
        <v>5000000</v>
      </c>
      <c r="K104" s="1347">
        <f>SUM(J104)*0.27</f>
        <v>1350000</v>
      </c>
      <c r="L104" s="1137">
        <v>6350000</v>
      </c>
      <c r="M104" s="1137">
        <v>0</v>
      </c>
      <c r="N104" s="1347">
        <v>0</v>
      </c>
      <c r="O104" s="1349">
        <f>SUM(P104:R104)</f>
        <v>0</v>
      </c>
      <c r="P104" s="1252"/>
      <c r="Q104" s="1252"/>
      <c r="R104" s="1252"/>
      <c r="S104" s="1350">
        <f>SUM(V104:X104)</f>
        <v>6598199</v>
      </c>
      <c r="T104" s="1351">
        <f>SUM(S104)/1.27</f>
        <v>5195432</v>
      </c>
      <c r="U104" s="660">
        <f>SUM(T104)*0.27</f>
        <v>1402767</v>
      </c>
      <c r="V104" s="1351">
        <v>6598199</v>
      </c>
      <c r="W104" s="451">
        <f t="shared" si="51"/>
        <v>0</v>
      </c>
      <c r="X104" s="660">
        <f t="shared" si="51"/>
        <v>0</v>
      </c>
      <c r="Y104" s="1352">
        <v>6598199</v>
      </c>
      <c r="Z104" s="1348">
        <v>5195432</v>
      </c>
      <c r="AA104" s="1347">
        <v>1402767</v>
      </c>
      <c r="AB104" s="1348">
        <v>6598199</v>
      </c>
      <c r="AC104" s="1137"/>
      <c r="AD104" s="1347"/>
    </row>
    <row r="105" spans="1:30" s="293" customFormat="1" ht="15" customHeight="1">
      <c r="A105" s="1389"/>
      <c r="B105" s="1369" t="s">
        <v>1014</v>
      </c>
      <c r="C105" s="1344"/>
      <c r="D105" s="1345"/>
      <c r="E105" s="1346"/>
      <c r="F105" s="1345"/>
      <c r="G105" s="1345"/>
      <c r="H105" s="1346"/>
      <c r="I105" s="1347">
        <f>SUM(L105:N105)</f>
        <v>0</v>
      </c>
      <c r="J105" s="1348">
        <f>SUM(I105)/1.27</f>
        <v>0</v>
      </c>
      <c r="K105" s="1347">
        <f>SUM(J105)*0.27</f>
        <v>0</v>
      </c>
      <c r="L105" s="1137"/>
      <c r="M105" s="1137">
        <v>0</v>
      </c>
      <c r="N105" s="1347">
        <v>0</v>
      </c>
      <c r="O105" s="1349">
        <f>SUM(P105:R105)</f>
        <v>0</v>
      </c>
      <c r="P105" s="1252"/>
      <c r="Q105" s="1252"/>
      <c r="R105" s="1252"/>
      <c r="S105" s="1350">
        <f>SUM(V105:X105)</f>
        <v>635000</v>
      </c>
      <c r="T105" s="1351">
        <f>SUM(S105)/1.27</f>
        <v>500000</v>
      </c>
      <c r="U105" s="660">
        <f>SUM(T105)*0.27</f>
        <v>135000</v>
      </c>
      <c r="V105" s="1351">
        <v>635000</v>
      </c>
      <c r="W105" s="451">
        <f t="shared" si="51"/>
        <v>0</v>
      </c>
      <c r="X105" s="660">
        <f t="shared" si="51"/>
        <v>0</v>
      </c>
      <c r="Y105" s="1352">
        <v>0</v>
      </c>
      <c r="Z105" s="1348">
        <v>0</v>
      </c>
      <c r="AA105" s="1347">
        <v>0</v>
      </c>
      <c r="AB105" s="1348">
        <v>0</v>
      </c>
      <c r="AC105" s="1137"/>
      <c r="AD105" s="1347"/>
    </row>
    <row r="106" spans="1:30" s="293" customFormat="1" ht="15" customHeight="1">
      <c r="A106" s="1389"/>
      <c r="B106" s="1343" t="s">
        <v>1015</v>
      </c>
      <c r="C106" s="1344"/>
      <c r="D106" s="1345"/>
      <c r="E106" s="1346"/>
      <c r="F106" s="1345"/>
      <c r="G106" s="1345"/>
      <c r="H106" s="1346"/>
      <c r="I106" s="1347">
        <f>SUM(L106:N106)</f>
        <v>0</v>
      </c>
      <c r="J106" s="1348">
        <f>SUM(I106)/1.27</f>
        <v>0</v>
      </c>
      <c r="K106" s="1347">
        <f>SUM(J106)*0.27</f>
        <v>0</v>
      </c>
      <c r="L106" s="1137"/>
      <c r="M106" s="1137">
        <v>0</v>
      </c>
      <c r="N106" s="1347">
        <v>0</v>
      </c>
      <c r="O106" s="1349">
        <f>SUM(P106:R106)</f>
        <v>0</v>
      </c>
      <c r="P106" s="1252"/>
      <c r="Q106" s="1252"/>
      <c r="R106" s="1252"/>
      <c r="S106" s="1350">
        <f>SUM(V106:X106)</f>
        <v>0</v>
      </c>
      <c r="T106" s="1351">
        <f>SUM(S106)/1.27</f>
        <v>0</v>
      </c>
      <c r="U106" s="660">
        <f>SUM(T106)*0.27</f>
        <v>0</v>
      </c>
      <c r="V106" s="1351">
        <f>SUM(L106+P106)</f>
        <v>0</v>
      </c>
      <c r="W106" s="451">
        <f t="shared" si="51"/>
        <v>0</v>
      </c>
      <c r="X106" s="660">
        <f t="shared" si="51"/>
        <v>0</v>
      </c>
      <c r="Y106" s="1352">
        <v>0</v>
      </c>
      <c r="Z106" s="1348">
        <v>0</v>
      </c>
      <c r="AA106" s="1347">
        <v>0</v>
      </c>
      <c r="AB106" s="1348">
        <v>0</v>
      </c>
      <c r="AC106" s="1137"/>
      <c r="AD106" s="1347"/>
    </row>
    <row r="107" spans="1:30" s="293" customFormat="1" ht="15" customHeight="1">
      <c r="A107" s="1389"/>
      <c r="B107" s="1343" t="s">
        <v>1016</v>
      </c>
      <c r="C107" s="1344"/>
      <c r="D107" s="1345"/>
      <c r="E107" s="1346"/>
      <c r="F107" s="1345"/>
      <c r="G107" s="1345"/>
      <c r="H107" s="1346"/>
      <c r="I107" s="1347">
        <f>SUM(L107:N107)</f>
        <v>0</v>
      </c>
      <c r="J107" s="1348">
        <f>SUM(I107)/1.27</f>
        <v>0</v>
      </c>
      <c r="K107" s="1347">
        <f>SUM(J107)*0.27</f>
        <v>0</v>
      </c>
      <c r="L107" s="1137"/>
      <c r="M107" s="1137">
        <v>0</v>
      </c>
      <c r="N107" s="1347">
        <v>0</v>
      </c>
      <c r="O107" s="1349">
        <f>SUM(P107:R107)</f>
        <v>0</v>
      </c>
      <c r="P107" s="1252"/>
      <c r="Q107" s="1252"/>
      <c r="R107" s="1252"/>
      <c r="S107" s="1350">
        <f>SUM(V107:X107)</f>
        <v>0</v>
      </c>
      <c r="T107" s="1351">
        <f>SUM(S107)/1.27</f>
        <v>0</v>
      </c>
      <c r="U107" s="660">
        <f>SUM(T107)*0.27</f>
        <v>0</v>
      </c>
      <c r="V107" s="1351">
        <f>SUM(L107+P107)</f>
        <v>0</v>
      </c>
      <c r="W107" s="451">
        <f t="shared" si="51"/>
        <v>0</v>
      </c>
      <c r="X107" s="660">
        <f t="shared" si="51"/>
        <v>0</v>
      </c>
      <c r="Y107" s="1352">
        <v>0</v>
      </c>
      <c r="Z107" s="1348">
        <v>0</v>
      </c>
      <c r="AA107" s="1347">
        <v>0</v>
      </c>
      <c r="AB107" s="1348">
        <v>0</v>
      </c>
      <c r="AC107" s="1137"/>
      <c r="AD107" s="1347"/>
    </row>
    <row r="108" spans="1:30" s="293" customFormat="1" ht="13.5" customHeight="1">
      <c r="A108" s="1389"/>
      <c r="B108" s="1343"/>
      <c r="C108" s="1344"/>
      <c r="D108" s="1345"/>
      <c r="E108" s="1346"/>
      <c r="F108" s="1345"/>
      <c r="G108" s="1345"/>
      <c r="H108" s="1346"/>
      <c r="I108" s="1347"/>
      <c r="J108" s="1348"/>
      <c r="K108" s="1347"/>
      <c r="L108" s="1137"/>
      <c r="M108" s="1137"/>
      <c r="N108" s="1347"/>
      <c r="O108" s="1392"/>
      <c r="P108" s="1778"/>
      <c r="Q108" s="1778"/>
      <c r="R108" s="1778"/>
      <c r="S108" s="1350"/>
      <c r="T108" s="1351"/>
      <c r="U108" s="660"/>
      <c r="V108" s="1351"/>
      <c r="W108" s="451"/>
      <c r="X108" s="660"/>
      <c r="Y108" s="1352"/>
      <c r="Z108" s="1348"/>
      <c r="AA108" s="1347"/>
      <c r="AB108" s="1348"/>
      <c r="AC108" s="1137"/>
      <c r="AD108" s="1347"/>
    </row>
    <row r="109" spans="1:30" s="293" customFormat="1" ht="15" customHeight="1">
      <c r="A109" s="1328" t="s">
        <v>1017</v>
      </c>
      <c r="B109" s="1329"/>
      <c r="C109" s="1330">
        <f t="shared" ref="C109:AD109" si="52">SUM(C110:C111)</f>
        <v>1905000</v>
      </c>
      <c r="D109" s="1331">
        <f t="shared" si="52"/>
        <v>1500000</v>
      </c>
      <c r="E109" s="1332">
        <f t="shared" si="52"/>
        <v>405000</v>
      </c>
      <c r="F109" s="1331">
        <f t="shared" si="52"/>
        <v>1905000</v>
      </c>
      <c r="G109" s="1331">
        <f t="shared" si="52"/>
        <v>0</v>
      </c>
      <c r="H109" s="1332">
        <f t="shared" si="52"/>
        <v>0</v>
      </c>
      <c r="I109" s="1333">
        <f t="shared" si="52"/>
        <v>1905000</v>
      </c>
      <c r="J109" s="1334">
        <f t="shared" si="52"/>
        <v>1500000</v>
      </c>
      <c r="K109" s="1333">
        <f t="shared" si="52"/>
        <v>405000</v>
      </c>
      <c r="L109" s="1335">
        <f t="shared" si="52"/>
        <v>1905000</v>
      </c>
      <c r="M109" s="1335">
        <f t="shared" si="52"/>
        <v>0</v>
      </c>
      <c r="N109" s="1333">
        <f t="shared" si="52"/>
        <v>0</v>
      </c>
      <c r="O109" s="1336">
        <f t="shared" si="52"/>
        <v>0</v>
      </c>
      <c r="P109" s="1337">
        <f t="shared" si="52"/>
        <v>0</v>
      </c>
      <c r="Q109" s="1337">
        <f t="shared" si="52"/>
        <v>0</v>
      </c>
      <c r="R109" s="1337">
        <f t="shared" si="52"/>
        <v>0</v>
      </c>
      <c r="S109" s="1338">
        <f t="shared" si="52"/>
        <v>1786357</v>
      </c>
      <c r="T109" s="1339">
        <f t="shared" si="52"/>
        <v>1406580</v>
      </c>
      <c r="U109" s="1340">
        <f t="shared" si="52"/>
        <v>379777</v>
      </c>
      <c r="V109" s="1339">
        <f t="shared" si="52"/>
        <v>1786357</v>
      </c>
      <c r="W109" s="1341">
        <f t="shared" si="52"/>
        <v>0</v>
      </c>
      <c r="X109" s="1340">
        <f t="shared" si="52"/>
        <v>0</v>
      </c>
      <c r="Y109" s="1342">
        <f t="shared" si="52"/>
        <v>1786357</v>
      </c>
      <c r="Z109" s="1334">
        <f t="shared" si="52"/>
        <v>1406580</v>
      </c>
      <c r="AA109" s="1333">
        <f t="shared" si="52"/>
        <v>379777</v>
      </c>
      <c r="AB109" s="1334">
        <f t="shared" si="52"/>
        <v>1786357</v>
      </c>
      <c r="AC109" s="1335">
        <f t="shared" si="52"/>
        <v>0</v>
      </c>
      <c r="AD109" s="1333">
        <f t="shared" si="52"/>
        <v>0</v>
      </c>
    </row>
    <row r="110" spans="1:30" s="293" customFormat="1" ht="15" customHeight="1">
      <c r="A110" s="1389"/>
      <c r="B110" s="1343" t="s">
        <v>1018</v>
      </c>
      <c r="C110" s="1344">
        <f>D110+E110</f>
        <v>1905000</v>
      </c>
      <c r="D110" s="1345">
        <v>1500000</v>
      </c>
      <c r="E110" s="1346">
        <v>405000</v>
      </c>
      <c r="F110" s="1345">
        <v>1905000</v>
      </c>
      <c r="G110" s="1345">
        <v>0</v>
      </c>
      <c r="H110" s="1346">
        <v>0</v>
      </c>
      <c r="I110" s="1347">
        <f>SUM(L110:N110)</f>
        <v>1905000</v>
      </c>
      <c r="J110" s="1348">
        <f>SUM(I110)/1.27</f>
        <v>1500000</v>
      </c>
      <c r="K110" s="1347">
        <f>SUM(J110)*0.27</f>
        <v>405000</v>
      </c>
      <c r="L110" s="1137">
        <v>1905000</v>
      </c>
      <c r="M110" s="1137">
        <v>0</v>
      </c>
      <c r="N110" s="1347">
        <v>0</v>
      </c>
      <c r="O110" s="1349">
        <f>SUM(P110:R110)</f>
        <v>0</v>
      </c>
      <c r="P110" s="1252"/>
      <c r="Q110" s="1252"/>
      <c r="R110" s="1252"/>
      <c r="S110" s="1350">
        <f>SUM(V110:X110)</f>
        <v>1786357</v>
      </c>
      <c r="T110" s="1351">
        <f>SUM(S110)/1.27</f>
        <v>1406580</v>
      </c>
      <c r="U110" s="660">
        <f>SUM(T110)*0.27</f>
        <v>379777</v>
      </c>
      <c r="V110" s="1351">
        <v>1786357</v>
      </c>
      <c r="W110" s="451">
        <f>SUM(M110+Q110)</f>
        <v>0</v>
      </c>
      <c r="X110" s="660">
        <f>SUM(N110+R110)</f>
        <v>0</v>
      </c>
      <c r="Y110" s="1352">
        <v>1786357</v>
      </c>
      <c r="Z110" s="1348">
        <v>1406580</v>
      </c>
      <c r="AA110" s="1347">
        <v>379777</v>
      </c>
      <c r="AB110" s="1348">
        <v>1786357</v>
      </c>
      <c r="AC110" s="1137"/>
      <c r="AD110" s="1347"/>
    </row>
    <row r="111" spans="1:30" s="293" customFormat="1" ht="15" customHeight="1">
      <c r="A111" s="1389"/>
      <c r="B111" s="1343"/>
      <c r="C111" s="1344"/>
      <c r="D111" s="1345"/>
      <c r="E111" s="1346"/>
      <c r="F111" s="1345"/>
      <c r="G111" s="1345"/>
      <c r="H111" s="1346"/>
      <c r="I111" s="1347">
        <f>SUM(L111:P111)</f>
        <v>0</v>
      </c>
      <c r="J111" s="1348">
        <f>SUM(I111)/1.27</f>
        <v>0</v>
      </c>
      <c r="K111" s="1347">
        <f>SUM(J111)*0.27</f>
        <v>0</v>
      </c>
      <c r="L111" s="1137">
        <v>0</v>
      </c>
      <c r="M111" s="1137">
        <v>0</v>
      </c>
      <c r="N111" s="1347">
        <v>0</v>
      </c>
      <c r="O111" s="1349">
        <f>SUM(P111:R111)</f>
        <v>0</v>
      </c>
      <c r="P111" s="1252"/>
      <c r="Q111" s="1252"/>
      <c r="R111" s="1252"/>
      <c r="S111" s="1350">
        <f>SUM(V111:X111)</f>
        <v>0</v>
      </c>
      <c r="T111" s="1351">
        <f>SUM(S111)/1.27</f>
        <v>0</v>
      </c>
      <c r="U111" s="660">
        <f>SUM(T111)*0.27</f>
        <v>0</v>
      </c>
      <c r="V111" s="1351">
        <f>SUM(L111+P111)</f>
        <v>0</v>
      </c>
      <c r="W111" s="451">
        <f>SUM(M111+Q111)</f>
        <v>0</v>
      </c>
      <c r="X111" s="660">
        <f>SUM(N111+R111)</f>
        <v>0</v>
      </c>
      <c r="Y111" s="1352"/>
      <c r="Z111" s="1348"/>
      <c r="AA111" s="1347"/>
      <c r="AB111" s="1348"/>
      <c r="AC111" s="1137"/>
      <c r="AD111" s="1347"/>
    </row>
    <row r="112" spans="1:30" s="293" customFormat="1" ht="16.5" customHeight="1">
      <c r="A112" s="1389"/>
      <c r="B112" s="1343"/>
      <c r="C112" s="1344"/>
      <c r="D112" s="1345"/>
      <c r="E112" s="1346"/>
      <c r="F112" s="1345"/>
      <c r="G112" s="1345"/>
      <c r="H112" s="1346"/>
      <c r="I112" s="1347"/>
      <c r="J112" s="1348"/>
      <c r="K112" s="1347"/>
      <c r="L112" s="1137"/>
      <c r="M112" s="1137"/>
      <c r="N112" s="1347"/>
      <c r="O112" s="1390"/>
      <c r="P112" s="451"/>
      <c r="Q112" s="451"/>
      <c r="R112" s="451"/>
      <c r="S112" s="1350"/>
      <c r="T112" s="1351"/>
      <c r="U112" s="660"/>
      <c r="V112" s="1351"/>
      <c r="W112" s="451"/>
      <c r="X112" s="660"/>
      <c r="Y112" s="1352"/>
      <c r="Z112" s="1348"/>
      <c r="AA112" s="1347"/>
      <c r="AB112" s="1348"/>
      <c r="AC112" s="1137"/>
      <c r="AD112" s="1347"/>
    </row>
    <row r="113" spans="1:30" s="293" customFormat="1" ht="15" customHeight="1">
      <c r="A113" s="1328" t="s">
        <v>173</v>
      </c>
      <c r="B113" s="1395"/>
      <c r="C113" s="1396">
        <f t="shared" ref="C113:AD113" si="53">SUM(C114:C119)</f>
        <v>18415000</v>
      </c>
      <c r="D113" s="1397">
        <f t="shared" si="53"/>
        <v>14500000</v>
      </c>
      <c r="E113" s="1398">
        <f t="shared" si="53"/>
        <v>3915000</v>
      </c>
      <c r="F113" s="1397">
        <f t="shared" si="53"/>
        <v>18415000</v>
      </c>
      <c r="G113" s="1397">
        <f t="shared" si="53"/>
        <v>0</v>
      </c>
      <c r="H113" s="1398">
        <f t="shared" si="53"/>
        <v>0</v>
      </c>
      <c r="I113" s="1333">
        <f t="shared" si="53"/>
        <v>18415000</v>
      </c>
      <c r="J113" s="1334">
        <f t="shared" si="53"/>
        <v>14500000</v>
      </c>
      <c r="K113" s="1333">
        <f t="shared" si="53"/>
        <v>3915000</v>
      </c>
      <c r="L113" s="1335">
        <f t="shared" si="53"/>
        <v>18415000</v>
      </c>
      <c r="M113" s="1335">
        <f t="shared" si="53"/>
        <v>0</v>
      </c>
      <c r="N113" s="1333">
        <f t="shared" si="53"/>
        <v>0</v>
      </c>
      <c r="O113" s="1393">
        <f t="shared" si="53"/>
        <v>0</v>
      </c>
      <c r="P113" s="1394">
        <f t="shared" si="53"/>
        <v>0</v>
      </c>
      <c r="Q113" s="1337">
        <f t="shared" si="53"/>
        <v>0</v>
      </c>
      <c r="R113" s="1337">
        <f t="shared" si="53"/>
        <v>0</v>
      </c>
      <c r="S113" s="1338">
        <f t="shared" si="53"/>
        <v>18521294</v>
      </c>
      <c r="T113" s="1339">
        <f t="shared" si="53"/>
        <v>14583696</v>
      </c>
      <c r="U113" s="1340">
        <f t="shared" si="53"/>
        <v>3937598</v>
      </c>
      <c r="V113" s="1339">
        <f t="shared" si="53"/>
        <v>18521294</v>
      </c>
      <c r="W113" s="1341">
        <f t="shared" si="53"/>
        <v>0</v>
      </c>
      <c r="X113" s="1340">
        <f t="shared" si="53"/>
        <v>0</v>
      </c>
      <c r="Y113" s="1342">
        <f t="shared" si="53"/>
        <v>18521294</v>
      </c>
      <c r="Z113" s="1334">
        <f t="shared" si="53"/>
        <v>14583696</v>
      </c>
      <c r="AA113" s="1333">
        <f t="shared" si="53"/>
        <v>3937598</v>
      </c>
      <c r="AB113" s="1334">
        <f t="shared" si="53"/>
        <v>18521294</v>
      </c>
      <c r="AC113" s="1335">
        <f t="shared" si="53"/>
        <v>0</v>
      </c>
      <c r="AD113" s="1333">
        <f t="shared" si="53"/>
        <v>0</v>
      </c>
    </row>
    <row r="114" spans="1:30" s="293" customFormat="1" ht="27.75" customHeight="1">
      <c r="A114" s="1389"/>
      <c r="B114" s="1343" t="s">
        <v>1019</v>
      </c>
      <c r="C114" s="1344">
        <f>D114+E114</f>
        <v>18415000</v>
      </c>
      <c r="D114" s="1345">
        <v>14500000</v>
      </c>
      <c r="E114" s="1346">
        <v>3915000</v>
      </c>
      <c r="F114" s="1345">
        <v>18415000</v>
      </c>
      <c r="G114" s="1345">
        <v>0</v>
      </c>
      <c r="H114" s="1346">
        <v>0</v>
      </c>
      <c r="I114" s="1347">
        <f>SUM(L114:N114)</f>
        <v>18415000</v>
      </c>
      <c r="J114" s="1348">
        <f>SUM(I114)/1.27</f>
        <v>14500000</v>
      </c>
      <c r="K114" s="1347">
        <f>SUM(J114)*0.27</f>
        <v>3915000</v>
      </c>
      <c r="L114" s="1137">
        <v>18415000</v>
      </c>
      <c r="M114" s="1137">
        <v>0</v>
      </c>
      <c r="N114" s="1347">
        <v>0</v>
      </c>
      <c r="O114" s="1399">
        <f>SUM(P114:R114)</f>
        <v>0</v>
      </c>
      <c r="P114" s="1400"/>
      <c r="Q114" s="1252"/>
      <c r="R114" s="1252"/>
      <c r="S114" s="1350">
        <f>SUM(V114:X114)</f>
        <v>18521294</v>
      </c>
      <c r="T114" s="1351">
        <f>SUM(S114)/1.27</f>
        <v>14583696</v>
      </c>
      <c r="U114" s="660">
        <f>SUM(T114)*0.27</f>
        <v>3937598</v>
      </c>
      <c r="V114" s="1351">
        <v>18521294</v>
      </c>
      <c r="W114" s="451">
        <f t="shared" ref="W114:X118" si="54">SUM(M114+Q114)</f>
        <v>0</v>
      </c>
      <c r="X114" s="660">
        <f t="shared" si="54"/>
        <v>0</v>
      </c>
      <c r="Y114" s="1352">
        <v>18521294</v>
      </c>
      <c r="Z114" s="1348">
        <v>14583696</v>
      </c>
      <c r="AA114" s="1347">
        <v>3937598</v>
      </c>
      <c r="AB114" s="1348">
        <v>18521294</v>
      </c>
      <c r="AC114" s="1137"/>
      <c r="AD114" s="1347"/>
    </row>
    <row r="115" spans="1:30" s="293" customFormat="1" ht="15" hidden="1" customHeight="1">
      <c r="A115" s="1389"/>
      <c r="B115" s="1343"/>
      <c r="C115" s="1344"/>
      <c r="D115" s="1345"/>
      <c r="E115" s="1346"/>
      <c r="F115" s="1345"/>
      <c r="G115" s="1345"/>
      <c r="H115" s="1346"/>
      <c r="I115" s="1347">
        <f>SUM(L115:N115)</f>
        <v>0</v>
      </c>
      <c r="J115" s="1348">
        <f>SUM(I115)/1.27</f>
        <v>0</v>
      </c>
      <c r="K115" s="1347">
        <f>SUM(J115)*0.27</f>
        <v>0</v>
      </c>
      <c r="L115" s="1137"/>
      <c r="M115" s="1137">
        <v>0</v>
      </c>
      <c r="N115" s="1347">
        <v>0</v>
      </c>
      <c r="O115" s="1399">
        <f>SUM(P115:R115)</f>
        <v>0</v>
      </c>
      <c r="P115" s="1400"/>
      <c r="Q115" s="1252"/>
      <c r="R115" s="1252"/>
      <c r="S115" s="1350">
        <f>SUM(V115:X115)</f>
        <v>0</v>
      </c>
      <c r="T115" s="1351">
        <f>SUM(S115)/1.27</f>
        <v>0</v>
      </c>
      <c r="U115" s="660">
        <f>SUM(T115)*0.27</f>
        <v>0</v>
      </c>
      <c r="V115" s="1351">
        <f>SUM(L115+P115)</f>
        <v>0</v>
      </c>
      <c r="W115" s="451">
        <f t="shared" si="54"/>
        <v>0</v>
      </c>
      <c r="X115" s="660">
        <f t="shared" si="54"/>
        <v>0</v>
      </c>
      <c r="Y115" s="1352"/>
      <c r="Z115" s="1348"/>
      <c r="AA115" s="1347"/>
      <c r="AB115" s="1348"/>
      <c r="AC115" s="1137"/>
      <c r="AD115" s="1347"/>
    </row>
    <row r="116" spans="1:30" s="293" customFormat="1" ht="15" hidden="1" customHeight="1">
      <c r="A116" s="1389"/>
      <c r="B116" s="1343"/>
      <c r="C116" s="1344"/>
      <c r="D116" s="1345"/>
      <c r="E116" s="1346"/>
      <c r="F116" s="1345"/>
      <c r="G116" s="1345"/>
      <c r="H116" s="1346"/>
      <c r="I116" s="1347">
        <f>SUM(L116:N116)</f>
        <v>0</v>
      </c>
      <c r="J116" s="1348">
        <f>SUM(I116)/1.27</f>
        <v>0</v>
      </c>
      <c r="K116" s="1347">
        <f>SUM(J116)*0.27</f>
        <v>0</v>
      </c>
      <c r="L116" s="1137"/>
      <c r="M116" s="1137">
        <v>0</v>
      </c>
      <c r="N116" s="1347">
        <v>0</v>
      </c>
      <c r="O116" s="1399">
        <f>SUM(P116:R116)</f>
        <v>0</v>
      </c>
      <c r="P116" s="1400"/>
      <c r="Q116" s="1252"/>
      <c r="R116" s="1252"/>
      <c r="S116" s="1350">
        <f>SUM(V116:X116)</f>
        <v>0</v>
      </c>
      <c r="T116" s="1351">
        <f>SUM(S116)/1.27</f>
        <v>0</v>
      </c>
      <c r="U116" s="660">
        <f>SUM(T116)*0.27</f>
        <v>0</v>
      </c>
      <c r="V116" s="1351">
        <f>SUM(L116+P116)</f>
        <v>0</v>
      </c>
      <c r="W116" s="451">
        <f t="shared" si="54"/>
        <v>0</v>
      </c>
      <c r="X116" s="660">
        <f t="shared" si="54"/>
        <v>0</v>
      </c>
      <c r="Y116" s="1352"/>
      <c r="Z116" s="1348"/>
      <c r="AA116" s="1347"/>
      <c r="AB116" s="1348"/>
      <c r="AC116" s="1137"/>
      <c r="AD116" s="1347"/>
    </row>
    <row r="117" spans="1:30" s="293" customFormat="1" ht="15" hidden="1" customHeight="1">
      <c r="A117" s="1389"/>
      <c r="B117" s="1343"/>
      <c r="C117" s="1344"/>
      <c r="D117" s="1345"/>
      <c r="E117" s="1346"/>
      <c r="F117" s="1345"/>
      <c r="G117" s="1345"/>
      <c r="H117" s="1346"/>
      <c r="I117" s="1347">
        <f>SUM(L117:P117)</f>
        <v>0</v>
      </c>
      <c r="J117" s="1348">
        <f>SUM(I117)/1.27</f>
        <v>0</v>
      </c>
      <c r="K117" s="1347">
        <f>SUM(J117)*0.27</f>
        <v>0</v>
      </c>
      <c r="L117" s="1137">
        <v>0</v>
      </c>
      <c r="M117" s="1137">
        <v>0</v>
      </c>
      <c r="N117" s="1347">
        <v>0</v>
      </c>
      <c r="O117" s="1349">
        <f>SUM(P117:R117)</f>
        <v>0</v>
      </c>
      <c r="P117" s="1400"/>
      <c r="Q117" s="1252"/>
      <c r="R117" s="1252"/>
      <c r="S117" s="1350">
        <f>SUM(V117:X117)</f>
        <v>0</v>
      </c>
      <c r="T117" s="1351">
        <f>SUM(S117)/1.27</f>
        <v>0</v>
      </c>
      <c r="U117" s="660">
        <f>SUM(T117)*0.27</f>
        <v>0</v>
      </c>
      <c r="V117" s="1351">
        <f>SUM(L117+P117)</f>
        <v>0</v>
      </c>
      <c r="W117" s="451">
        <f t="shared" si="54"/>
        <v>0</v>
      </c>
      <c r="X117" s="660">
        <f t="shared" si="54"/>
        <v>0</v>
      </c>
      <c r="Y117" s="1352"/>
      <c r="Z117" s="1348"/>
      <c r="AA117" s="1347"/>
      <c r="AB117" s="1348"/>
      <c r="AC117" s="1137"/>
      <c r="AD117" s="1347"/>
    </row>
    <row r="118" spans="1:30" s="293" customFormat="1" ht="15" hidden="1" customHeight="1">
      <c r="A118" s="1389"/>
      <c r="B118" s="1343"/>
      <c r="C118" s="1344"/>
      <c r="D118" s="1345"/>
      <c r="E118" s="1346"/>
      <c r="F118" s="1345"/>
      <c r="G118" s="1345"/>
      <c r="H118" s="1346"/>
      <c r="I118" s="1347">
        <f>SUM(L118:P118)</f>
        <v>0</v>
      </c>
      <c r="J118" s="1348">
        <f>SUM(I118)/1.27</f>
        <v>0</v>
      </c>
      <c r="K118" s="1347">
        <f>SUM(J118)*0.27</f>
        <v>0</v>
      </c>
      <c r="L118" s="1137">
        <v>0</v>
      </c>
      <c r="M118" s="1137">
        <v>0</v>
      </c>
      <c r="N118" s="1347">
        <v>0</v>
      </c>
      <c r="O118" s="1349">
        <f>SUM(P118:R118)</f>
        <v>0</v>
      </c>
      <c r="P118" s="1400"/>
      <c r="Q118" s="1252"/>
      <c r="R118" s="1252"/>
      <c r="S118" s="1350">
        <f>SUM(V118:X118)</f>
        <v>0</v>
      </c>
      <c r="T118" s="1351">
        <f>SUM(S118)/1.27</f>
        <v>0</v>
      </c>
      <c r="U118" s="660">
        <f>SUM(T118)*0.27</f>
        <v>0</v>
      </c>
      <c r="V118" s="1351">
        <f>SUM(L118+P118)</f>
        <v>0</v>
      </c>
      <c r="W118" s="451">
        <f t="shared" si="54"/>
        <v>0</v>
      </c>
      <c r="X118" s="660">
        <f t="shared" si="54"/>
        <v>0</v>
      </c>
      <c r="Y118" s="1352"/>
      <c r="Z118" s="1348"/>
      <c r="AA118" s="1347"/>
      <c r="AB118" s="1348"/>
      <c r="AC118" s="1137"/>
      <c r="AD118" s="1347"/>
    </row>
    <row r="119" spans="1:30" s="293" customFormat="1" ht="17.25" customHeight="1">
      <c r="A119" s="1389"/>
      <c r="B119" s="1343"/>
      <c r="C119" s="1344"/>
      <c r="D119" s="1345"/>
      <c r="E119" s="1346"/>
      <c r="F119" s="1345"/>
      <c r="G119" s="1345"/>
      <c r="H119" s="1346"/>
      <c r="I119" s="1347"/>
      <c r="J119" s="1348"/>
      <c r="K119" s="1347"/>
      <c r="L119" s="1137"/>
      <c r="M119" s="1137"/>
      <c r="N119" s="1347"/>
      <c r="O119" s="1401"/>
      <c r="P119" s="1778"/>
      <c r="Q119" s="1778"/>
      <c r="R119" s="1778"/>
      <c r="S119" s="1350"/>
      <c r="T119" s="1351"/>
      <c r="U119" s="660"/>
      <c r="V119" s="1351"/>
      <c r="W119" s="451"/>
      <c r="X119" s="660"/>
      <c r="Y119" s="1352"/>
      <c r="Z119" s="1348"/>
      <c r="AA119" s="1347"/>
      <c r="AB119" s="1348"/>
      <c r="AC119" s="1137"/>
      <c r="AD119" s="1347"/>
    </row>
    <row r="120" spans="1:30" s="293" customFormat="1" ht="15" customHeight="1">
      <c r="A120" s="1328" t="s">
        <v>174</v>
      </c>
      <c r="B120" s="1395"/>
      <c r="C120" s="1396">
        <f t="shared" ref="C120:AD120" si="55">SUM(C121:C128)</f>
        <v>55626000</v>
      </c>
      <c r="D120" s="1397">
        <f t="shared" si="55"/>
        <v>43800000</v>
      </c>
      <c r="E120" s="1398">
        <f t="shared" si="55"/>
        <v>11826000</v>
      </c>
      <c r="F120" s="1397">
        <f t="shared" si="55"/>
        <v>55626000</v>
      </c>
      <c r="G120" s="1397">
        <f t="shared" si="55"/>
        <v>0</v>
      </c>
      <c r="H120" s="1398">
        <f t="shared" si="55"/>
        <v>0</v>
      </c>
      <c r="I120" s="1333">
        <f t="shared" si="55"/>
        <v>55626000</v>
      </c>
      <c r="J120" s="1334">
        <f t="shared" si="55"/>
        <v>43800000</v>
      </c>
      <c r="K120" s="1333">
        <f t="shared" si="55"/>
        <v>11826000</v>
      </c>
      <c r="L120" s="1335">
        <f t="shared" si="55"/>
        <v>55626000</v>
      </c>
      <c r="M120" s="1335">
        <f t="shared" si="55"/>
        <v>0</v>
      </c>
      <c r="N120" s="1333">
        <f t="shared" si="55"/>
        <v>0</v>
      </c>
      <c r="O120" s="1393">
        <f t="shared" si="55"/>
        <v>0</v>
      </c>
      <c r="P120" s="1394">
        <f t="shared" si="55"/>
        <v>0</v>
      </c>
      <c r="Q120" s="1337">
        <f t="shared" si="55"/>
        <v>0</v>
      </c>
      <c r="R120" s="1337">
        <f t="shared" si="55"/>
        <v>0</v>
      </c>
      <c r="S120" s="1338">
        <f t="shared" si="55"/>
        <v>42818899</v>
      </c>
      <c r="T120" s="1339">
        <f t="shared" si="55"/>
        <v>33715669</v>
      </c>
      <c r="U120" s="1340">
        <f t="shared" si="55"/>
        <v>9103230</v>
      </c>
      <c r="V120" s="1339">
        <f t="shared" si="55"/>
        <v>42818899</v>
      </c>
      <c r="W120" s="1341">
        <f t="shared" si="55"/>
        <v>0</v>
      </c>
      <c r="X120" s="1340">
        <f t="shared" si="55"/>
        <v>0</v>
      </c>
      <c r="Y120" s="1342">
        <f t="shared" si="55"/>
        <v>33523701</v>
      </c>
      <c r="Z120" s="1334">
        <f t="shared" si="55"/>
        <v>26396615</v>
      </c>
      <c r="AA120" s="1333">
        <f t="shared" si="55"/>
        <v>7127086</v>
      </c>
      <c r="AB120" s="1334">
        <f t="shared" si="55"/>
        <v>33523701</v>
      </c>
      <c r="AC120" s="1335">
        <f t="shared" si="55"/>
        <v>0</v>
      </c>
      <c r="AD120" s="1333">
        <f t="shared" si="55"/>
        <v>0</v>
      </c>
    </row>
    <row r="121" spans="1:30" s="293" customFormat="1" ht="40.5" customHeight="1">
      <c r="A121" s="1389"/>
      <c r="B121" s="1343" t="s">
        <v>1020</v>
      </c>
      <c r="C121" s="1344">
        <f>D121+E121</f>
        <v>55626000</v>
      </c>
      <c r="D121" s="1345">
        <v>43800000</v>
      </c>
      <c r="E121" s="1346">
        <v>11826000</v>
      </c>
      <c r="F121" s="1345">
        <v>55626000</v>
      </c>
      <c r="G121" s="1345">
        <v>0</v>
      </c>
      <c r="H121" s="1346">
        <v>0</v>
      </c>
      <c r="I121" s="1347">
        <f>SUM(L121:N121)</f>
        <v>55626000</v>
      </c>
      <c r="J121" s="1348">
        <f t="shared" ref="J121:J127" si="56">SUM(I121)/1.27</f>
        <v>43800000</v>
      </c>
      <c r="K121" s="1347">
        <f t="shared" ref="K121:K127" si="57">SUM(J121)*0.27</f>
        <v>11826000</v>
      </c>
      <c r="L121" s="1137">
        <v>55626000</v>
      </c>
      <c r="M121" s="1137">
        <v>0</v>
      </c>
      <c r="N121" s="1347">
        <v>0</v>
      </c>
      <c r="O121" s="1399">
        <f t="shared" ref="O121:O127" si="58">SUM(P121:R121)</f>
        <v>0</v>
      </c>
      <c r="P121" s="1400"/>
      <c r="Q121" s="1252"/>
      <c r="R121" s="1252"/>
      <c r="S121" s="1350">
        <f t="shared" ref="S121:S127" si="59">SUM(V121:X121)</f>
        <v>39008899</v>
      </c>
      <c r="T121" s="1351">
        <f t="shared" ref="T121:T127" si="60">SUM(S121)/1.27</f>
        <v>30715669</v>
      </c>
      <c r="U121" s="660">
        <f>SUM(T121)*0.27-1</f>
        <v>8293230</v>
      </c>
      <c r="V121" s="1351">
        <v>39008899</v>
      </c>
      <c r="W121" s="451">
        <f t="shared" ref="W121:X127" si="61">SUM(M121+Q121)</f>
        <v>0</v>
      </c>
      <c r="X121" s="660">
        <f t="shared" si="61"/>
        <v>0</v>
      </c>
      <c r="Y121" s="1352">
        <v>33523701</v>
      </c>
      <c r="Z121" s="1348">
        <v>26396615</v>
      </c>
      <c r="AA121" s="1347">
        <v>7127086</v>
      </c>
      <c r="AB121" s="1348">
        <v>33523701</v>
      </c>
      <c r="AC121" s="1137"/>
      <c r="AD121" s="1347"/>
    </row>
    <row r="122" spans="1:30" s="293" customFormat="1" ht="15" customHeight="1">
      <c r="A122" s="1389"/>
      <c r="B122" s="1369" t="s">
        <v>1021</v>
      </c>
      <c r="C122" s="1344"/>
      <c r="D122" s="1345"/>
      <c r="E122" s="1346"/>
      <c r="F122" s="1345"/>
      <c r="G122" s="1345"/>
      <c r="H122" s="1346"/>
      <c r="I122" s="1347">
        <f>SUM(L122:N122)</f>
        <v>0</v>
      </c>
      <c r="J122" s="1348">
        <f t="shared" si="56"/>
        <v>0</v>
      </c>
      <c r="K122" s="1347">
        <f t="shared" si="57"/>
        <v>0</v>
      </c>
      <c r="L122" s="1137"/>
      <c r="M122" s="1137">
        <v>0</v>
      </c>
      <c r="N122" s="1347">
        <v>0</v>
      </c>
      <c r="O122" s="1399">
        <f t="shared" si="58"/>
        <v>0</v>
      </c>
      <c r="P122" s="1400"/>
      <c r="Q122" s="1252"/>
      <c r="R122" s="1252"/>
      <c r="S122" s="1350">
        <f t="shared" si="59"/>
        <v>3810000</v>
      </c>
      <c r="T122" s="1351">
        <f t="shared" si="60"/>
        <v>3000000</v>
      </c>
      <c r="U122" s="660">
        <f t="shared" ref="U122:U127" si="62">SUM(T122)*0.27</f>
        <v>810000</v>
      </c>
      <c r="V122" s="1351">
        <v>3810000</v>
      </c>
      <c r="W122" s="451">
        <f t="shared" si="61"/>
        <v>0</v>
      </c>
      <c r="X122" s="660">
        <f t="shared" si="61"/>
        <v>0</v>
      </c>
      <c r="Y122" s="1352">
        <v>0</v>
      </c>
      <c r="Z122" s="1348">
        <v>0</v>
      </c>
      <c r="AA122" s="1347">
        <v>0</v>
      </c>
      <c r="AB122" s="1348">
        <v>0</v>
      </c>
      <c r="AC122" s="1137"/>
      <c r="AD122" s="1347"/>
    </row>
    <row r="123" spans="1:30" s="293" customFormat="1" ht="15" hidden="1" customHeight="1">
      <c r="A123" s="1389"/>
      <c r="B123" s="1343"/>
      <c r="C123" s="1344"/>
      <c r="D123" s="1345"/>
      <c r="E123" s="1346"/>
      <c r="F123" s="1345"/>
      <c r="G123" s="1345"/>
      <c r="H123" s="1346"/>
      <c r="I123" s="1347">
        <f>SUM(L123:N123)</f>
        <v>0</v>
      </c>
      <c r="J123" s="1348">
        <f t="shared" si="56"/>
        <v>0</v>
      </c>
      <c r="K123" s="1347">
        <f t="shared" si="57"/>
        <v>0</v>
      </c>
      <c r="L123" s="1137"/>
      <c r="M123" s="1137">
        <v>0</v>
      </c>
      <c r="N123" s="1347">
        <v>0</v>
      </c>
      <c r="O123" s="1399">
        <f t="shared" si="58"/>
        <v>0</v>
      </c>
      <c r="P123" s="1400"/>
      <c r="Q123" s="1252"/>
      <c r="R123" s="1252"/>
      <c r="S123" s="1350">
        <f t="shared" si="59"/>
        <v>0</v>
      </c>
      <c r="T123" s="1351">
        <f t="shared" si="60"/>
        <v>0</v>
      </c>
      <c r="U123" s="660">
        <f t="shared" si="62"/>
        <v>0</v>
      </c>
      <c r="V123" s="1351">
        <f>SUM(L123+P123)</f>
        <v>0</v>
      </c>
      <c r="W123" s="451">
        <f t="shared" si="61"/>
        <v>0</v>
      </c>
      <c r="X123" s="660">
        <f t="shared" si="61"/>
        <v>0</v>
      </c>
      <c r="Y123" s="1352"/>
      <c r="Z123" s="1348"/>
      <c r="AA123" s="1347"/>
      <c r="AB123" s="1348"/>
      <c r="AC123" s="1137"/>
      <c r="AD123" s="1347"/>
    </row>
    <row r="124" spans="1:30" s="293" customFormat="1" ht="15" hidden="1" customHeight="1">
      <c r="A124" s="1389"/>
      <c r="B124" s="1343"/>
      <c r="C124" s="1344"/>
      <c r="D124" s="1345"/>
      <c r="E124" s="1346"/>
      <c r="F124" s="1345"/>
      <c r="G124" s="1345"/>
      <c r="H124" s="1346"/>
      <c r="I124" s="1347">
        <f>SUM(L124:N124)</f>
        <v>0</v>
      </c>
      <c r="J124" s="1348">
        <f t="shared" si="56"/>
        <v>0</v>
      </c>
      <c r="K124" s="1347">
        <f t="shared" si="57"/>
        <v>0</v>
      </c>
      <c r="L124" s="1137"/>
      <c r="M124" s="1137">
        <v>0</v>
      </c>
      <c r="N124" s="1347">
        <v>0</v>
      </c>
      <c r="O124" s="1399">
        <f t="shared" si="58"/>
        <v>0</v>
      </c>
      <c r="P124" s="1400"/>
      <c r="Q124" s="1252"/>
      <c r="R124" s="1252"/>
      <c r="S124" s="1350">
        <f t="shared" si="59"/>
        <v>0</v>
      </c>
      <c r="T124" s="1351">
        <f t="shared" si="60"/>
        <v>0</v>
      </c>
      <c r="U124" s="660">
        <f t="shared" si="62"/>
        <v>0</v>
      </c>
      <c r="V124" s="1351">
        <f>SUM(L124+P124)</f>
        <v>0</v>
      </c>
      <c r="W124" s="451">
        <f t="shared" si="61"/>
        <v>0</v>
      </c>
      <c r="X124" s="660">
        <f t="shared" si="61"/>
        <v>0</v>
      </c>
      <c r="Y124" s="1352"/>
      <c r="Z124" s="1348"/>
      <c r="AA124" s="1347"/>
      <c r="AB124" s="1348"/>
      <c r="AC124" s="1137"/>
      <c r="AD124" s="1347"/>
    </row>
    <row r="125" spans="1:30" s="293" customFormat="1" ht="15" hidden="1" customHeight="1">
      <c r="A125" s="1389"/>
      <c r="B125" s="1343"/>
      <c r="C125" s="1344"/>
      <c r="D125" s="1345"/>
      <c r="E125" s="1346"/>
      <c r="F125" s="1345"/>
      <c r="G125" s="1345"/>
      <c r="H125" s="1346"/>
      <c r="I125" s="1347">
        <f>SUM(L125:N125)</f>
        <v>0</v>
      </c>
      <c r="J125" s="1348">
        <f t="shared" si="56"/>
        <v>0</v>
      </c>
      <c r="K125" s="1347">
        <f t="shared" si="57"/>
        <v>0</v>
      </c>
      <c r="L125" s="1137"/>
      <c r="M125" s="1137">
        <v>0</v>
      </c>
      <c r="N125" s="1347">
        <v>0</v>
      </c>
      <c r="O125" s="1399">
        <f t="shared" si="58"/>
        <v>0</v>
      </c>
      <c r="P125" s="1400"/>
      <c r="Q125" s="1252"/>
      <c r="R125" s="1252"/>
      <c r="S125" s="1350">
        <f t="shared" si="59"/>
        <v>0</v>
      </c>
      <c r="T125" s="1351">
        <f t="shared" si="60"/>
        <v>0</v>
      </c>
      <c r="U125" s="660">
        <f t="shared" si="62"/>
        <v>0</v>
      </c>
      <c r="V125" s="1351">
        <f>SUM(L125+P125)</f>
        <v>0</v>
      </c>
      <c r="W125" s="451">
        <f t="shared" si="61"/>
        <v>0</v>
      </c>
      <c r="X125" s="660">
        <f t="shared" si="61"/>
        <v>0</v>
      </c>
      <c r="Y125" s="1352"/>
      <c r="Z125" s="1348"/>
      <c r="AA125" s="1347"/>
      <c r="AB125" s="1348"/>
      <c r="AC125" s="1137"/>
      <c r="AD125" s="1347"/>
    </row>
    <row r="126" spans="1:30" s="293" customFormat="1" ht="15" hidden="1" customHeight="1">
      <c r="A126" s="1389"/>
      <c r="B126" s="1343"/>
      <c r="C126" s="1344"/>
      <c r="D126" s="1345"/>
      <c r="E126" s="1346"/>
      <c r="F126" s="1345"/>
      <c r="G126" s="1345"/>
      <c r="H126" s="1346"/>
      <c r="I126" s="1347">
        <f>SUM(L126:P126)</f>
        <v>0</v>
      </c>
      <c r="J126" s="1348">
        <f t="shared" si="56"/>
        <v>0</v>
      </c>
      <c r="K126" s="1347">
        <f t="shared" si="57"/>
        <v>0</v>
      </c>
      <c r="L126" s="1137">
        <v>0</v>
      </c>
      <c r="M126" s="1137">
        <v>0</v>
      </c>
      <c r="N126" s="1347">
        <v>0</v>
      </c>
      <c r="O126" s="1349">
        <f t="shared" si="58"/>
        <v>0</v>
      </c>
      <c r="P126" s="1400"/>
      <c r="Q126" s="1252"/>
      <c r="R126" s="1252"/>
      <c r="S126" s="1350">
        <f t="shared" si="59"/>
        <v>0</v>
      </c>
      <c r="T126" s="1351">
        <f t="shared" si="60"/>
        <v>0</v>
      </c>
      <c r="U126" s="660">
        <f t="shared" si="62"/>
        <v>0</v>
      </c>
      <c r="V126" s="1351">
        <f>SUM(L126+P126)</f>
        <v>0</v>
      </c>
      <c r="W126" s="451">
        <f t="shared" si="61"/>
        <v>0</v>
      </c>
      <c r="X126" s="660">
        <f t="shared" si="61"/>
        <v>0</v>
      </c>
      <c r="Y126" s="1352"/>
      <c r="Z126" s="1348"/>
      <c r="AA126" s="1347"/>
      <c r="AB126" s="1348"/>
      <c r="AC126" s="1137"/>
      <c r="AD126" s="1347"/>
    </row>
    <row r="127" spans="1:30" s="293" customFormat="1" ht="15" hidden="1" customHeight="1">
      <c r="A127" s="1389"/>
      <c r="B127" s="1343"/>
      <c r="C127" s="1344"/>
      <c r="D127" s="1345"/>
      <c r="E127" s="1346"/>
      <c r="F127" s="1345"/>
      <c r="G127" s="1345"/>
      <c r="H127" s="1346"/>
      <c r="I127" s="1347">
        <f>SUM(L127:P127)</f>
        <v>0</v>
      </c>
      <c r="J127" s="1348">
        <f t="shared" si="56"/>
        <v>0</v>
      </c>
      <c r="K127" s="1347">
        <f t="shared" si="57"/>
        <v>0</v>
      </c>
      <c r="L127" s="1137">
        <v>0</v>
      </c>
      <c r="M127" s="1137">
        <v>0</v>
      </c>
      <c r="N127" s="1347">
        <v>0</v>
      </c>
      <c r="O127" s="1349">
        <f t="shared" si="58"/>
        <v>0</v>
      </c>
      <c r="P127" s="1400"/>
      <c r="Q127" s="1252"/>
      <c r="R127" s="1252"/>
      <c r="S127" s="1350">
        <f t="shared" si="59"/>
        <v>0</v>
      </c>
      <c r="T127" s="1351">
        <f t="shared" si="60"/>
        <v>0</v>
      </c>
      <c r="U127" s="660">
        <f t="shared" si="62"/>
        <v>0</v>
      </c>
      <c r="V127" s="1351">
        <f>SUM(L127+P127)</f>
        <v>0</v>
      </c>
      <c r="W127" s="451">
        <f t="shared" si="61"/>
        <v>0</v>
      </c>
      <c r="X127" s="660">
        <f t="shared" si="61"/>
        <v>0</v>
      </c>
      <c r="Y127" s="1352"/>
      <c r="Z127" s="1348"/>
      <c r="AA127" s="1347"/>
      <c r="AB127" s="1348"/>
      <c r="AC127" s="1137"/>
      <c r="AD127" s="1347"/>
    </row>
    <row r="128" spans="1:30" s="293" customFormat="1" ht="16.5" hidden="1" customHeight="1">
      <c r="A128" s="1389"/>
      <c r="B128" s="1343"/>
      <c r="C128" s="1344"/>
      <c r="D128" s="1345"/>
      <c r="E128" s="1346"/>
      <c r="F128" s="1345"/>
      <c r="G128" s="1345"/>
      <c r="H128" s="1346"/>
      <c r="I128" s="1347"/>
      <c r="J128" s="1348"/>
      <c r="K128" s="1347"/>
      <c r="L128" s="1137"/>
      <c r="M128" s="1137"/>
      <c r="N128" s="1347"/>
      <c r="O128" s="1401"/>
      <c r="P128" s="1778"/>
      <c r="Q128" s="1778"/>
      <c r="R128" s="1778"/>
      <c r="S128" s="1350"/>
      <c r="T128" s="1351"/>
      <c r="U128" s="660"/>
      <c r="V128" s="1351"/>
      <c r="W128" s="451"/>
      <c r="X128" s="660"/>
      <c r="Y128" s="1352"/>
      <c r="Z128" s="1348"/>
      <c r="AA128" s="1347"/>
      <c r="AB128" s="1348"/>
      <c r="AC128" s="1137"/>
      <c r="AD128" s="1347"/>
    </row>
    <row r="129" spans="1:30" s="293" customFormat="1" ht="15" customHeight="1">
      <c r="A129" s="1328" t="s">
        <v>175</v>
      </c>
      <c r="B129" s="1329"/>
      <c r="C129" s="1330">
        <f t="shared" ref="C129:AD129" si="63">SUM(C130:C139)</f>
        <v>63500000</v>
      </c>
      <c r="D129" s="1331">
        <f t="shared" si="63"/>
        <v>50000000</v>
      </c>
      <c r="E129" s="1332">
        <f t="shared" si="63"/>
        <v>13500000</v>
      </c>
      <c r="F129" s="1331">
        <f t="shared" si="63"/>
        <v>63500000</v>
      </c>
      <c r="G129" s="1331">
        <f t="shared" si="63"/>
        <v>0</v>
      </c>
      <c r="H129" s="1332">
        <f t="shared" si="63"/>
        <v>0</v>
      </c>
      <c r="I129" s="1333">
        <f t="shared" si="63"/>
        <v>63500000</v>
      </c>
      <c r="J129" s="1334">
        <f t="shared" si="63"/>
        <v>50000000</v>
      </c>
      <c r="K129" s="1333">
        <f t="shared" si="63"/>
        <v>13500000</v>
      </c>
      <c r="L129" s="1335">
        <f t="shared" si="63"/>
        <v>63500000</v>
      </c>
      <c r="M129" s="1335">
        <f t="shared" si="63"/>
        <v>0</v>
      </c>
      <c r="N129" s="1333">
        <f t="shared" si="63"/>
        <v>0</v>
      </c>
      <c r="O129" s="1393">
        <f t="shared" si="63"/>
        <v>0</v>
      </c>
      <c r="P129" s="1394">
        <f t="shared" si="63"/>
        <v>0</v>
      </c>
      <c r="Q129" s="1337">
        <f t="shared" si="63"/>
        <v>0</v>
      </c>
      <c r="R129" s="1337">
        <f t="shared" si="63"/>
        <v>0</v>
      </c>
      <c r="S129" s="1338">
        <f t="shared" si="63"/>
        <v>67790468</v>
      </c>
      <c r="T129" s="1339">
        <f t="shared" si="63"/>
        <v>53378321</v>
      </c>
      <c r="U129" s="1340">
        <f t="shared" si="63"/>
        <v>14412147</v>
      </c>
      <c r="V129" s="1339">
        <f t="shared" si="63"/>
        <v>67790468</v>
      </c>
      <c r="W129" s="1341">
        <f t="shared" si="63"/>
        <v>0</v>
      </c>
      <c r="X129" s="1340">
        <f t="shared" si="63"/>
        <v>0</v>
      </c>
      <c r="Y129" s="1342">
        <f t="shared" si="63"/>
        <v>66520467</v>
      </c>
      <c r="Z129" s="1334">
        <f t="shared" si="63"/>
        <v>52378321</v>
      </c>
      <c r="AA129" s="1333">
        <f t="shared" si="63"/>
        <v>14142146</v>
      </c>
      <c r="AB129" s="1334">
        <f t="shared" si="63"/>
        <v>66520467</v>
      </c>
      <c r="AC129" s="1335">
        <f t="shared" si="63"/>
        <v>0</v>
      </c>
      <c r="AD129" s="1333">
        <f t="shared" si="63"/>
        <v>0</v>
      </c>
    </row>
    <row r="130" spans="1:30" s="293" customFormat="1" ht="40.5" customHeight="1">
      <c r="A130" s="1389"/>
      <c r="B130" s="1343" t="s">
        <v>1022</v>
      </c>
      <c r="C130" s="1344">
        <f>D130+E130</f>
        <v>63500000</v>
      </c>
      <c r="D130" s="1345">
        <v>50000000</v>
      </c>
      <c r="E130" s="1346">
        <v>13500000</v>
      </c>
      <c r="F130" s="1345">
        <v>63500000</v>
      </c>
      <c r="G130" s="1345">
        <v>0</v>
      </c>
      <c r="H130" s="1346">
        <v>0</v>
      </c>
      <c r="I130" s="1347">
        <f t="shared" ref="I130:I138" si="64">SUM(L130:N130)</f>
        <v>63500000</v>
      </c>
      <c r="J130" s="1348">
        <f t="shared" ref="J130:J139" si="65">SUM(I130)/1.27</f>
        <v>50000000</v>
      </c>
      <c r="K130" s="1347">
        <f t="shared" ref="K130:K139" si="66">SUM(J130)*0.27</f>
        <v>13500000</v>
      </c>
      <c r="L130" s="1137">
        <v>63500000</v>
      </c>
      <c r="M130" s="1137">
        <v>0</v>
      </c>
      <c r="N130" s="1347">
        <v>0</v>
      </c>
      <c r="O130" s="1349">
        <f t="shared" ref="O130:O139" si="67">SUM(P130:R130)</f>
        <v>0</v>
      </c>
      <c r="P130" s="1400"/>
      <c r="Q130" s="1252"/>
      <c r="R130" s="1252"/>
      <c r="S130" s="1350">
        <f t="shared" ref="S130:S139" si="68">SUM(V130:X130)</f>
        <v>66520468</v>
      </c>
      <c r="T130" s="1351">
        <f t="shared" ref="T130:T139" si="69">SUM(S130)/1.27</f>
        <v>52378321</v>
      </c>
      <c r="U130" s="660">
        <f t="shared" ref="U130:U139" si="70">SUM(T130)*0.27</f>
        <v>14142147</v>
      </c>
      <c r="V130" s="1351">
        <v>66520468</v>
      </c>
      <c r="W130" s="451">
        <f t="shared" ref="W130:W139" si="71">SUM(M130+Q130)</f>
        <v>0</v>
      </c>
      <c r="X130" s="660">
        <f t="shared" ref="X130:X139" si="72">SUM(N130+R130)</f>
        <v>0</v>
      </c>
      <c r="Y130" s="1352">
        <v>66520467</v>
      </c>
      <c r="Z130" s="1348">
        <v>52378321</v>
      </c>
      <c r="AA130" s="1347">
        <v>14142146</v>
      </c>
      <c r="AB130" s="1348">
        <v>66520467</v>
      </c>
      <c r="AC130" s="1137"/>
      <c r="AD130" s="1347"/>
    </row>
    <row r="131" spans="1:30" s="293" customFormat="1" ht="15" customHeight="1">
      <c r="A131" s="1389"/>
      <c r="B131" s="1369" t="s">
        <v>1023</v>
      </c>
      <c r="C131" s="1344"/>
      <c r="D131" s="1345"/>
      <c r="E131" s="1346"/>
      <c r="F131" s="1345"/>
      <c r="G131" s="1345"/>
      <c r="H131" s="1346"/>
      <c r="I131" s="1347">
        <f t="shared" si="64"/>
        <v>0</v>
      </c>
      <c r="J131" s="1348">
        <f t="shared" si="65"/>
        <v>0</v>
      </c>
      <c r="K131" s="1347">
        <f t="shared" si="66"/>
        <v>0</v>
      </c>
      <c r="L131" s="1137"/>
      <c r="M131" s="1137">
        <v>0</v>
      </c>
      <c r="N131" s="1347">
        <v>0</v>
      </c>
      <c r="O131" s="1349">
        <f t="shared" si="67"/>
        <v>0</v>
      </c>
      <c r="P131" s="1400"/>
      <c r="Q131" s="1252"/>
      <c r="R131" s="1252"/>
      <c r="S131" s="1350">
        <f t="shared" si="68"/>
        <v>1270000</v>
      </c>
      <c r="T131" s="1351">
        <f t="shared" si="69"/>
        <v>1000000</v>
      </c>
      <c r="U131" s="660">
        <f t="shared" si="70"/>
        <v>270000</v>
      </c>
      <c r="V131" s="1351">
        <v>1270000</v>
      </c>
      <c r="W131" s="451">
        <f t="shared" si="71"/>
        <v>0</v>
      </c>
      <c r="X131" s="660">
        <f t="shared" si="72"/>
        <v>0</v>
      </c>
      <c r="Y131" s="1352">
        <v>0</v>
      </c>
      <c r="Z131" s="1348">
        <v>0</v>
      </c>
      <c r="AA131" s="1347">
        <v>0</v>
      </c>
      <c r="AB131" s="1348">
        <v>0</v>
      </c>
      <c r="AC131" s="1137"/>
      <c r="AD131" s="1347"/>
    </row>
    <row r="132" spans="1:30" s="293" customFormat="1" ht="15" hidden="1" customHeight="1">
      <c r="A132" s="1389"/>
      <c r="B132" s="1343"/>
      <c r="C132" s="1344"/>
      <c r="D132" s="1345"/>
      <c r="E132" s="1346"/>
      <c r="F132" s="1345"/>
      <c r="G132" s="1345"/>
      <c r="H132" s="1346"/>
      <c r="I132" s="1347">
        <f t="shared" si="64"/>
        <v>0</v>
      </c>
      <c r="J132" s="1348">
        <f t="shared" si="65"/>
        <v>0</v>
      </c>
      <c r="K132" s="1347">
        <f t="shared" si="66"/>
        <v>0</v>
      </c>
      <c r="L132" s="1137"/>
      <c r="M132" s="1137">
        <v>0</v>
      </c>
      <c r="N132" s="1347">
        <v>0</v>
      </c>
      <c r="O132" s="1349">
        <f t="shared" si="67"/>
        <v>0</v>
      </c>
      <c r="P132" s="1400"/>
      <c r="Q132" s="1252"/>
      <c r="R132" s="1252"/>
      <c r="S132" s="1350">
        <f t="shared" si="68"/>
        <v>0</v>
      </c>
      <c r="T132" s="1351">
        <f t="shared" si="69"/>
        <v>0</v>
      </c>
      <c r="U132" s="660">
        <f t="shared" si="70"/>
        <v>0</v>
      </c>
      <c r="V132" s="1351">
        <f t="shared" ref="V132:V139" si="73">SUM(L132+P132)</f>
        <v>0</v>
      </c>
      <c r="W132" s="451">
        <f t="shared" si="71"/>
        <v>0</v>
      </c>
      <c r="X132" s="660">
        <f t="shared" si="72"/>
        <v>0</v>
      </c>
      <c r="Y132" s="1352"/>
      <c r="Z132" s="1348"/>
      <c r="AA132" s="1347"/>
      <c r="AB132" s="1348"/>
      <c r="AC132" s="1137"/>
      <c r="AD132" s="1347"/>
    </row>
    <row r="133" spans="1:30" s="293" customFormat="1" ht="15" hidden="1" customHeight="1">
      <c r="A133" s="1389"/>
      <c r="B133" s="1343"/>
      <c r="C133" s="1344"/>
      <c r="D133" s="1345"/>
      <c r="E133" s="1346"/>
      <c r="F133" s="1345"/>
      <c r="G133" s="1345"/>
      <c r="H133" s="1346"/>
      <c r="I133" s="1347">
        <f t="shared" si="64"/>
        <v>0</v>
      </c>
      <c r="J133" s="1348">
        <f t="shared" si="65"/>
        <v>0</v>
      </c>
      <c r="K133" s="1347">
        <f t="shared" si="66"/>
        <v>0</v>
      </c>
      <c r="L133" s="1137"/>
      <c r="M133" s="1137">
        <v>0</v>
      </c>
      <c r="N133" s="1347">
        <v>0</v>
      </c>
      <c r="O133" s="1349">
        <f t="shared" si="67"/>
        <v>0</v>
      </c>
      <c r="P133" s="1400"/>
      <c r="Q133" s="1252"/>
      <c r="R133" s="1252"/>
      <c r="S133" s="1350">
        <f t="shared" si="68"/>
        <v>0</v>
      </c>
      <c r="T133" s="1351">
        <f t="shared" si="69"/>
        <v>0</v>
      </c>
      <c r="U133" s="660">
        <f t="shared" si="70"/>
        <v>0</v>
      </c>
      <c r="V133" s="1351">
        <f t="shared" si="73"/>
        <v>0</v>
      </c>
      <c r="W133" s="451">
        <f t="shared" si="71"/>
        <v>0</v>
      </c>
      <c r="X133" s="660">
        <f t="shared" si="72"/>
        <v>0</v>
      </c>
      <c r="Y133" s="1352"/>
      <c r="Z133" s="1348"/>
      <c r="AA133" s="1347"/>
      <c r="AB133" s="1348"/>
      <c r="AC133" s="1137"/>
      <c r="AD133" s="1347"/>
    </row>
    <row r="134" spans="1:30" s="293" customFormat="1" ht="15" hidden="1" customHeight="1">
      <c r="A134" s="1389"/>
      <c r="B134" s="1343"/>
      <c r="C134" s="1344"/>
      <c r="D134" s="1345"/>
      <c r="E134" s="1346"/>
      <c r="F134" s="1345"/>
      <c r="G134" s="1345"/>
      <c r="H134" s="1346"/>
      <c r="I134" s="1347">
        <f t="shared" si="64"/>
        <v>0</v>
      </c>
      <c r="J134" s="1348">
        <f t="shared" si="65"/>
        <v>0</v>
      </c>
      <c r="K134" s="1347">
        <f t="shared" si="66"/>
        <v>0</v>
      </c>
      <c r="L134" s="1137"/>
      <c r="M134" s="1137">
        <v>0</v>
      </c>
      <c r="N134" s="1347">
        <v>0</v>
      </c>
      <c r="O134" s="1349">
        <f t="shared" si="67"/>
        <v>0</v>
      </c>
      <c r="P134" s="1400"/>
      <c r="Q134" s="1252"/>
      <c r="R134" s="1252"/>
      <c r="S134" s="1350">
        <f t="shared" si="68"/>
        <v>0</v>
      </c>
      <c r="T134" s="1351">
        <f t="shared" si="69"/>
        <v>0</v>
      </c>
      <c r="U134" s="660">
        <f t="shared" si="70"/>
        <v>0</v>
      </c>
      <c r="V134" s="1351">
        <f t="shared" si="73"/>
        <v>0</v>
      </c>
      <c r="W134" s="451">
        <f t="shared" si="71"/>
        <v>0</v>
      </c>
      <c r="X134" s="660">
        <f t="shared" si="72"/>
        <v>0</v>
      </c>
      <c r="Y134" s="1352"/>
      <c r="Z134" s="1348"/>
      <c r="AA134" s="1347"/>
      <c r="AB134" s="1348"/>
      <c r="AC134" s="1137"/>
      <c r="AD134" s="1347"/>
    </row>
    <row r="135" spans="1:30" s="293" customFormat="1" ht="15" hidden="1" customHeight="1">
      <c r="A135" s="1389"/>
      <c r="B135" s="1343"/>
      <c r="C135" s="1344"/>
      <c r="D135" s="1345"/>
      <c r="E135" s="1346"/>
      <c r="F135" s="1345"/>
      <c r="G135" s="1345"/>
      <c r="H135" s="1346"/>
      <c r="I135" s="1347">
        <f t="shared" si="64"/>
        <v>0</v>
      </c>
      <c r="J135" s="1348">
        <f t="shared" si="65"/>
        <v>0</v>
      </c>
      <c r="K135" s="1347">
        <f t="shared" si="66"/>
        <v>0</v>
      </c>
      <c r="L135" s="1137"/>
      <c r="M135" s="1137">
        <v>0</v>
      </c>
      <c r="N135" s="1347">
        <v>0</v>
      </c>
      <c r="O135" s="1349">
        <f t="shared" si="67"/>
        <v>0</v>
      </c>
      <c r="P135" s="1400"/>
      <c r="Q135" s="1252"/>
      <c r="R135" s="1252"/>
      <c r="S135" s="1350">
        <f t="shared" si="68"/>
        <v>0</v>
      </c>
      <c r="T135" s="1351">
        <f t="shared" si="69"/>
        <v>0</v>
      </c>
      <c r="U135" s="660">
        <f t="shared" si="70"/>
        <v>0</v>
      </c>
      <c r="V135" s="1351">
        <f t="shared" si="73"/>
        <v>0</v>
      </c>
      <c r="W135" s="451">
        <f t="shared" si="71"/>
        <v>0</v>
      </c>
      <c r="X135" s="660">
        <f t="shared" si="72"/>
        <v>0</v>
      </c>
      <c r="Y135" s="1352"/>
      <c r="Z135" s="1348"/>
      <c r="AA135" s="1347"/>
      <c r="AB135" s="1348"/>
      <c r="AC135" s="1137"/>
      <c r="AD135" s="1347"/>
    </row>
    <row r="136" spans="1:30" s="293" customFormat="1" ht="15" hidden="1" customHeight="1">
      <c r="A136" s="1389"/>
      <c r="B136" s="1343"/>
      <c r="C136" s="1344"/>
      <c r="D136" s="1345"/>
      <c r="E136" s="1346"/>
      <c r="F136" s="1345"/>
      <c r="G136" s="1345"/>
      <c r="H136" s="1346"/>
      <c r="I136" s="1347">
        <f t="shared" si="64"/>
        <v>0</v>
      </c>
      <c r="J136" s="1348">
        <f t="shared" si="65"/>
        <v>0</v>
      </c>
      <c r="K136" s="1347">
        <f t="shared" si="66"/>
        <v>0</v>
      </c>
      <c r="L136" s="1137"/>
      <c r="M136" s="1137">
        <v>0</v>
      </c>
      <c r="N136" s="1347">
        <v>0</v>
      </c>
      <c r="O136" s="1349">
        <f t="shared" si="67"/>
        <v>0</v>
      </c>
      <c r="P136" s="1400"/>
      <c r="Q136" s="1252"/>
      <c r="R136" s="1252"/>
      <c r="S136" s="1350">
        <f t="shared" si="68"/>
        <v>0</v>
      </c>
      <c r="T136" s="1351">
        <f t="shared" si="69"/>
        <v>0</v>
      </c>
      <c r="U136" s="660">
        <f t="shared" si="70"/>
        <v>0</v>
      </c>
      <c r="V136" s="1351">
        <f t="shared" si="73"/>
        <v>0</v>
      </c>
      <c r="W136" s="451">
        <f t="shared" si="71"/>
        <v>0</v>
      </c>
      <c r="X136" s="660">
        <f t="shared" si="72"/>
        <v>0</v>
      </c>
      <c r="Y136" s="1352"/>
      <c r="Z136" s="1348"/>
      <c r="AA136" s="1347"/>
      <c r="AB136" s="1348"/>
      <c r="AC136" s="1137"/>
      <c r="AD136" s="1347"/>
    </row>
    <row r="137" spans="1:30" s="293" customFormat="1" ht="15" hidden="1" customHeight="1">
      <c r="A137" s="1389"/>
      <c r="B137" s="1343"/>
      <c r="C137" s="1344"/>
      <c r="D137" s="1345"/>
      <c r="E137" s="1346"/>
      <c r="F137" s="1345"/>
      <c r="G137" s="1345"/>
      <c r="H137" s="1346"/>
      <c r="I137" s="1347">
        <f t="shared" si="64"/>
        <v>0</v>
      </c>
      <c r="J137" s="1348">
        <f t="shared" si="65"/>
        <v>0</v>
      </c>
      <c r="K137" s="1347">
        <f t="shared" si="66"/>
        <v>0</v>
      </c>
      <c r="L137" s="1137"/>
      <c r="M137" s="1137">
        <v>0</v>
      </c>
      <c r="N137" s="1347">
        <v>0</v>
      </c>
      <c r="O137" s="1349">
        <f t="shared" si="67"/>
        <v>0</v>
      </c>
      <c r="P137" s="1400"/>
      <c r="Q137" s="1252"/>
      <c r="R137" s="1252"/>
      <c r="S137" s="1350">
        <f t="shared" si="68"/>
        <v>0</v>
      </c>
      <c r="T137" s="1351">
        <f t="shared" si="69"/>
        <v>0</v>
      </c>
      <c r="U137" s="660">
        <f t="shared" si="70"/>
        <v>0</v>
      </c>
      <c r="V137" s="1351">
        <f t="shared" si="73"/>
        <v>0</v>
      </c>
      <c r="W137" s="451">
        <f t="shared" si="71"/>
        <v>0</v>
      </c>
      <c r="X137" s="660">
        <f t="shared" si="72"/>
        <v>0</v>
      </c>
      <c r="Y137" s="1352"/>
      <c r="Z137" s="1348"/>
      <c r="AA137" s="1347"/>
      <c r="AB137" s="1348"/>
      <c r="AC137" s="1137"/>
      <c r="AD137" s="1347"/>
    </row>
    <row r="138" spans="1:30" s="293" customFormat="1" ht="15" hidden="1" customHeight="1">
      <c r="A138" s="1389"/>
      <c r="B138" s="1343"/>
      <c r="C138" s="1344"/>
      <c r="D138" s="1345"/>
      <c r="E138" s="1346"/>
      <c r="F138" s="1345"/>
      <c r="G138" s="1345"/>
      <c r="H138" s="1346"/>
      <c r="I138" s="1347">
        <f t="shared" si="64"/>
        <v>0</v>
      </c>
      <c r="J138" s="1348">
        <f t="shared" si="65"/>
        <v>0</v>
      </c>
      <c r="K138" s="1347">
        <f t="shared" si="66"/>
        <v>0</v>
      </c>
      <c r="L138" s="1137"/>
      <c r="M138" s="1137">
        <v>0</v>
      </c>
      <c r="N138" s="1347">
        <v>0</v>
      </c>
      <c r="O138" s="1349">
        <f t="shared" si="67"/>
        <v>0</v>
      </c>
      <c r="P138" s="1400"/>
      <c r="Q138" s="1252"/>
      <c r="R138" s="1252"/>
      <c r="S138" s="1350">
        <f t="shared" si="68"/>
        <v>0</v>
      </c>
      <c r="T138" s="1351">
        <f t="shared" si="69"/>
        <v>0</v>
      </c>
      <c r="U138" s="660">
        <f t="shared" si="70"/>
        <v>0</v>
      </c>
      <c r="V138" s="1351">
        <f t="shared" si="73"/>
        <v>0</v>
      </c>
      <c r="W138" s="451">
        <f t="shared" si="71"/>
        <v>0</v>
      </c>
      <c r="X138" s="660">
        <f t="shared" si="72"/>
        <v>0</v>
      </c>
      <c r="Y138" s="1352"/>
      <c r="Z138" s="1348"/>
      <c r="AA138" s="1347"/>
      <c r="AB138" s="1348"/>
      <c r="AC138" s="1137"/>
      <c r="AD138" s="1347"/>
    </row>
    <row r="139" spans="1:30" s="293" customFormat="1" ht="10.5" hidden="1" customHeight="1">
      <c r="A139" s="1389"/>
      <c r="B139" s="1343"/>
      <c r="C139" s="1344"/>
      <c r="D139" s="1345"/>
      <c r="E139" s="1346"/>
      <c r="F139" s="1345"/>
      <c r="G139" s="1345"/>
      <c r="H139" s="1346"/>
      <c r="I139" s="1347">
        <f>SUM(L139:P139)</f>
        <v>0</v>
      </c>
      <c r="J139" s="1348">
        <f t="shared" si="65"/>
        <v>0</v>
      </c>
      <c r="K139" s="1347">
        <f t="shared" si="66"/>
        <v>0</v>
      </c>
      <c r="L139" s="1137">
        <v>0</v>
      </c>
      <c r="M139" s="1137">
        <v>0</v>
      </c>
      <c r="N139" s="1347">
        <v>0</v>
      </c>
      <c r="O139" s="1349">
        <f t="shared" si="67"/>
        <v>0</v>
      </c>
      <c r="P139" s="1400"/>
      <c r="Q139" s="1252"/>
      <c r="R139" s="1252"/>
      <c r="S139" s="1350">
        <f t="shared" si="68"/>
        <v>0</v>
      </c>
      <c r="T139" s="1351">
        <f t="shared" si="69"/>
        <v>0</v>
      </c>
      <c r="U139" s="660">
        <f t="shared" si="70"/>
        <v>0</v>
      </c>
      <c r="V139" s="1351">
        <f t="shared" si="73"/>
        <v>0</v>
      </c>
      <c r="W139" s="451">
        <f t="shared" si="71"/>
        <v>0</v>
      </c>
      <c r="X139" s="660">
        <f t="shared" si="72"/>
        <v>0</v>
      </c>
      <c r="Y139" s="1352"/>
      <c r="Z139" s="1348"/>
      <c r="AA139" s="1347"/>
      <c r="AB139" s="1348"/>
      <c r="AC139" s="1137"/>
      <c r="AD139" s="1347"/>
    </row>
    <row r="140" spans="1:30" s="293" customFormat="1" ht="14.25" hidden="1" customHeight="1">
      <c r="A140" s="1389"/>
      <c r="B140" s="1343"/>
      <c r="C140" s="1344"/>
      <c r="D140" s="1345"/>
      <c r="E140" s="1346"/>
      <c r="F140" s="1345"/>
      <c r="G140" s="1345"/>
      <c r="H140" s="1346"/>
      <c r="I140" s="1347"/>
      <c r="J140" s="1348"/>
      <c r="K140" s="1347"/>
      <c r="L140" s="1137"/>
      <c r="M140" s="1137"/>
      <c r="N140" s="1347"/>
      <c r="O140" s="1390"/>
      <c r="P140" s="1391"/>
      <c r="Q140" s="451"/>
      <c r="R140" s="451"/>
      <c r="S140" s="1350"/>
      <c r="T140" s="1351"/>
      <c r="U140" s="660"/>
      <c r="V140" s="1351"/>
      <c r="W140" s="451"/>
      <c r="X140" s="660"/>
      <c r="Y140" s="1352"/>
      <c r="Z140" s="1348"/>
      <c r="AA140" s="1347"/>
      <c r="AB140" s="1348"/>
      <c r="AC140" s="1137"/>
      <c r="AD140" s="1347"/>
    </row>
    <row r="141" spans="1:30" s="293" customFormat="1" ht="15" customHeight="1">
      <c r="A141" s="1328" t="s">
        <v>176</v>
      </c>
      <c r="B141" s="1329"/>
      <c r="C141" s="1330"/>
      <c r="D141" s="1331"/>
      <c r="E141" s="1332"/>
      <c r="F141" s="1331"/>
      <c r="G141" s="1331"/>
      <c r="H141" s="1332"/>
      <c r="I141" s="1333">
        <f t="shared" ref="I141:N141" si="74">SUM(I142:I147)</f>
        <v>0</v>
      </c>
      <c r="J141" s="1334">
        <f t="shared" si="74"/>
        <v>0</v>
      </c>
      <c r="K141" s="1333">
        <f t="shared" si="74"/>
        <v>0</v>
      </c>
      <c r="L141" s="1335">
        <f t="shared" si="74"/>
        <v>0</v>
      </c>
      <c r="M141" s="1335">
        <f t="shared" si="74"/>
        <v>0</v>
      </c>
      <c r="N141" s="1333">
        <f t="shared" si="74"/>
        <v>0</v>
      </c>
      <c r="O141" s="1393">
        <f t="shared" ref="O141:X141" si="75">SUM(O142:O143)</f>
        <v>0</v>
      </c>
      <c r="P141" s="1394">
        <f t="shared" si="75"/>
        <v>0</v>
      </c>
      <c r="Q141" s="1337">
        <f t="shared" si="75"/>
        <v>0</v>
      </c>
      <c r="R141" s="1337">
        <f t="shared" si="75"/>
        <v>0</v>
      </c>
      <c r="S141" s="1338">
        <f t="shared" si="75"/>
        <v>1270000</v>
      </c>
      <c r="T141" s="1339">
        <f t="shared" si="75"/>
        <v>1000000</v>
      </c>
      <c r="U141" s="1340">
        <f t="shared" si="75"/>
        <v>270000</v>
      </c>
      <c r="V141" s="1339">
        <f t="shared" si="75"/>
        <v>1270000</v>
      </c>
      <c r="W141" s="1341">
        <f t="shared" si="75"/>
        <v>0</v>
      </c>
      <c r="X141" s="1340">
        <f t="shared" si="75"/>
        <v>0</v>
      </c>
      <c r="Y141" s="1342">
        <f t="shared" ref="Y141:AD141" si="76">Y142+Y148</f>
        <v>0</v>
      </c>
      <c r="Z141" s="1334">
        <f t="shared" si="76"/>
        <v>0</v>
      </c>
      <c r="AA141" s="1333">
        <f t="shared" si="76"/>
        <v>0</v>
      </c>
      <c r="AB141" s="1334">
        <f t="shared" si="76"/>
        <v>0</v>
      </c>
      <c r="AC141" s="1335">
        <f t="shared" si="76"/>
        <v>0</v>
      </c>
      <c r="AD141" s="1333">
        <f t="shared" si="76"/>
        <v>0</v>
      </c>
    </row>
    <row r="142" spans="1:30" s="293" customFormat="1" ht="15" customHeight="1">
      <c r="A142" s="1389"/>
      <c r="B142" s="1369" t="s">
        <v>1024</v>
      </c>
      <c r="C142" s="1344"/>
      <c r="D142" s="1345"/>
      <c r="E142" s="1346"/>
      <c r="F142" s="1345"/>
      <c r="G142" s="1345"/>
      <c r="H142" s="1346"/>
      <c r="I142" s="1347">
        <f t="shared" ref="I142:I147" si="77">SUM(L142:P142)</f>
        <v>0</v>
      </c>
      <c r="J142" s="1348">
        <f t="shared" ref="J142:J147" si="78">SUM(I142)/1.27</f>
        <v>0</v>
      </c>
      <c r="K142" s="1347">
        <f t="shared" ref="K142:K147" si="79">SUM(J142)*0.27</f>
        <v>0</v>
      </c>
      <c r="L142" s="1137"/>
      <c r="M142" s="1137">
        <v>0</v>
      </c>
      <c r="N142" s="1347">
        <v>0</v>
      </c>
      <c r="O142" s="1349">
        <f t="shared" ref="O142:O147" si="80">SUM(P142:R142)</f>
        <v>0</v>
      </c>
      <c r="P142" s="1400"/>
      <c r="Q142" s="1252"/>
      <c r="R142" s="1252"/>
      <c r="S142" s="1350">
        <f t="shared" ref="S142:S147" si="81">SUM(V142:X142)</f>
        <v>1270000</v>
      </c>
      <c r="T142" s="1351">
        <f t="shared" ref="T142:T147" si="82">SUM(S142)/1.27</f>
        <v>1000000</v>
      </c>
      <c r="U142" s="660">
        <f t="shared" ref="U142:U147" si="83">SUM(T142)*0.27</f>
        <v>270000</v>
      </c>
      <c r="V142" s="1351">
        <v>1270000</v>
      </c>
      <c r="W142" s="451">
        <f t="shared" ref="W142:X147" si="84">SUM(M142+Q142)</f>
        <v>0</v>
      </c>
      <c r="X142" s="660">
        <f t="shared" si="84"/>
        <v>0</v>
      </c>
      <c r="Y142" s="1352">
        <v>0</v>
      </c>
      <c r="Z142" s="1348">
        <v>0</v>
      </c>
      <c r="AA142" s="1347">
        <v>0</v>
      </c>
      <c r="AB142" s="1348">
        <v>0</v>
      </c>
      <c r="AC142" s="1137"/>
      <c r="AD142" s="1347"/>
    </row>
    <row r="143" spans="1:30" s="293" customFormat="1" ht="15" hidden="1" customHeight="1">
      <c r="A143" s="1389"/>
      <c r="B143" s="1343"/>
      <c r="C143" s="1344"/>
      <c r="D143" s="1345"/>
      <c r="E143" s="1346"/>
      <c r="F143" s="1345"/>
      <c r="G143" s="1345"/>
      <c r="H143" s="1346"/>
      <c r="I143" s="1347">
        <f t="shared" si="77"/>
        <v>0</v>
      </c>
      <c r="J143" s="1348">
        <f t="shared" si="78"/>
        <v>0</v>
      </c>
      <c r="K143" s="1347">
        <f t="shared" si="79"/>
        <v>0</v>
      </c>
      <c r="L143" s="1137">
        <v>0</v>
      </c>
      <c r="M143" s="1137">
        <v>0</v>
      </c>
      <c r="N143" s="1347">
        <v>0</v>
      </c>
      <c r="O143" s="1349">
        <f t="shared" si="80"/>
        <v>0</v>
      </c>
      <c r="P143" s="1400"/>
      <c r="Q143" s="1252"/>
      <c r="R143" s="1252"/>
      <c r="S143" s="1350">
        <f t="shared" si="81"/>
        <v>0</v>
      </c>
      <c r="T143" s="1351">
        <f t="shared" si="82"/>
        <v>0</v>
      </c>
      <c r="U143" s="660">
        <f t="shared" si="83"/>
        <v>0</v>
      </c>
      <c r="V143" s="1351">
        <f>SUM(L143+P143)</f>
        <v>0</v>
      </c>
      <c r="W143" s="451">
        <f t="shared" si="84"/>
        <v>0</v>
      </c>
      <c r="X143" s="660">
        <f t="shared" si="84"/>
        <v>0</v>
      </c>
      <c r="Y143" s="1352" t="e">
        <f>SUM(AB143:AF143)</f>
        <v>#REF!</v>
      </c>
      <c r="Z143" s="1348" t="e">
        <f>SUM(Y143)/1.27</f>
        <v>#REF!</v>
      </c>
      <c r="AA143" s="1347" t="e">
        <f>SUM(Z143)*0.27</f>
        <v>#REF!</v>
      </c>
      <c r="AB143" s="1348" t="e">
        <f>SUM(X143+#REF!)</f>
        <v>#REF!</v>
      </c>
      <c r="AC143" s="1137" t="e">
        <f>SUM(#REF!+#REF!)</f>
        <v>#REF!</v>
      </c>
      <c r="AD143" s="1347" t="e">
        <f>SUM(#REF!+#REF!)</f>
        <v>#REF!</v>
      </c>
    </row>
    <row r="144" spans="1:30" s="293" customFormat="1" ht="15" hidden="1" customHeight="1">
      <c r="A144" s="1389"/>
      <c r="B144" s="1402"/>
      <c r="C144" s="1344"/>
      <c r="D144" s="1345"/>
      <c r="E144" s="1346"/>
      <c r="F144" s="1345"/>
      <c r="G144" s="1345"/>
      <c r="H144" s="1346"/>
      <c r="I144" s="1347">
        <f t="shared" si="77"/>
        <v>0</v>
      </c>
      <c r="J144" s="1348">
        <f t="shared" si="78"/>
        <v>0</v>
      </c>
      <c r="K144" s="1347">
        <f t="shared" si="79"/>
        <v>0</v>
      </c>
      <c r="L144" s="1137">
        <v>0</v>
      </c>
      <c r="M144" s="1137">
        <v>0</v>
      </c>
      <c r="N144" s="1347">
        <v>0</v>
      </c>
      <c r="O144" s="1349">
        <f t="shared" si="80"/>
        <v>0</v>
      </c>
      <c r="P144" s="1400"/>
      <c r="Q144" s="1252"/>
      <c r="R144" s="1252"/>
      <c r="S144" s="1350">
        <f t="shared" si="81"/>
        <v>0</v>
      </c>
      <c r="T144" s="1351">
        <f t="shared" si="82"/>
        <v>0</v>
      </c>
      <c r="U144" s="660">
        <f t="shared" si="83"/>
        <v>0</v>
      </c>
      <c r="V144" s="1351">
        <f>SUM(L144+P144)</f>
        <v>0</v>
      </c>
      <c r="W144" s="451">
        <f t="shared" si="84"/>
        <v>0</v>
      </c>
      <c r="X144" s="660">
        <f t="shared" si="84"/>
        <v>0</v>
      </c>
      <c r="Y144" s="1352" t="e">
        <f>SUM(AB144:AF144)</f>
        <v>#REF!</v>
      </c>
      <c r="Z144" s="1348" t="e">
        <f>SUM(Y144)/1.27</f>
        <v>#REF!</v>
      </c>
      <c r="AA144" s="1347" t="e">
        <f>SUM(Z144)*0.27</f>
        <v>#REF!</v>
      </c>
      <c r="AB144" s="1348" t="e">
        <f>SUM(X144+#REF!)</f>
        <v>#REF!</v>
      </c>
      <c r="AC144" s="1137" t="e">
        <f>SUM(#REF!+#REF!)</f>
        <v>#REF!</v>
      </c>
      <c r="AD144" s="1347" t="e">
        <f>SUM(#REF!+#REF!)</f>
        <v>#REF!</v>
      </c>
    </row>
    <row r="145" spans="1:30" s="293" customFormat="1" ht="15" hidden="1" customHeight="1">
      <c r="A145" s="1389"/>
      <c r="B145" s="1402"/>
      <c r="C145" s="1344"/>
      <c r="D145" s="1345"/>
      <c r="E145" s="1346"/>
      <c r="F145" s="1345"/>
      <c r="G145" s="1345"/>
      <c r="H145" s="1346"/>
      <c r="I145" s="1347">
        <f t="shared" si="77"/>
        <v>0</v>
      </c>
      <c r="J145" s="1348">
        <f t="shared" si="78"/>
        <v>0</v>
      </c>
      <c r="K145" s="1347">
        <f t="shared" si="79"/>
        <v>0</v>
      </c>
      <c r="L145" s="1137">
        <v>0</v>
      </c>
      <c r="M145" s="1137">
        <v>0</v>
      </c>
      <c r="N145" s="1347">
        <v>0</v>
      </c>
      <c r="O145" s="1349">
        <f t="shared" si="80"/>
        <v>0</v>
      </c>
      <c r="P145" s="1400"/>
      <c r="Q145" s="1252"/>
      <c r="R145" s="1252"/>
      <c r="S145" s="1350">
        <f t="shared" si="81"/>
        <v>0</v>
      </c>
      <c r="T145" s="1351">
        <f t="shared" si="82"/>
        <v>0</v>
      </c>
      <c r="U145" s="660">
        <f t="shared" si="83"/>
        <v>0</v>
      </c>
      <c r="V145" s="1351">
        <f>SUM(L145+P145)</f>
        <v>0</v>
      </c>
      <c r="W145" s="451">
        <f t="shared" si="84"/>
        <v>0</v>
      </c>
      <c r="X145" s="660">
        <f t="shared" si="84"/>
        <v>0</v>
      </c>
      <c r="Y145" s="1352" t="e">
        <f>SUM(AB145:AF145)</f>
        <v>#REF!</v>
      </c>
      <c r="Z145" s="1348" t="e">
        <f>SUM(Y145)/1.27</f>
        <v>#REF!</v>
      </c>
      <c r="AA145" s="1347" t="e">
        <f>SUM(Z145)*0.27</f>
        <v>#REF!</v>
      </c>
      <c r="AB145" s="1348" t="e">
        <f>SUM(X145+#REF!)</f>
        <v>#REF!</v>
      </c>
      <c r="AC145" s="1137" t="e">
        <f>SUM(#REF!+#REF!)</f>
        <v>#REF!</v>
      </c>
      <c r="AD145" s="1347" t="e">
        <f>SUM(#REF!+#REF!)</f>
        <v>#REF!</v>
      </c>
    </row>
    <row r="146" spans="1:30" s="293" customFormat="1" ht="15" hidden="1" customHeight="1">
      <c r="A146" s="1389"/>
      <c r="B146" s="1402"/>
      <c r="C146" s="1344"/>
      <c r="D146" s="1345"/>
      <c r="E146" s="1346"/>
      <c r="F146" s="1345"/>
      <c r="G146" s="1345"/>
      <c r="H146" s="1346"/>
      <c r="I146" s="1347">
        <f t="shared" si="77"/>
        <v>0</v>
      </c>
      <c r="J146" s="1348">
        <f t="shared" si="78"/>
        <v>0</v>
      </c>
      <c r="K146" s="1347">
        <f t="shared" si="79"/>
        <v>0</v>
      </c>
      <c r="L146" s="1137">
        <v>0</v>
      </c>
      <c r="M146" s="1137">
        <v>0</v>
      </c>
      <c r="N146" s="1347">
        <v>0</v>
      </c>
      <c r="O146" s="1349">
        <f t="shared" si="80"/>
        <v>0</v>
      </c>
      <c r="P146" s="1400"/>
      <c r="Q146" s="1252"/>
      <c r="R146" s="1252"/>
      <c r="S146" s="1350">
        <f t="shared" si="81"/>
        <v>0</v>
      </c>
      <c r="T146" s="1351">
        <f t="shared" si="82"/>
        <v>0</v>
      </c>
      <c r="U146" s="660">
        <f t="shared" si="83"/>
        <v>0</v>
      </c>
      <c r="V146" s="1351">
        <f>SUM(L146+P146)</f>
        <v>0</v>
      </c>
      <c r="W146" s="451">
        <f t="shared" si="84"/>
        <v>0</v>
      </c>
      <c r="X146" s="660">
        <f t="shared" si="84"/>
        <v>0</v>
      </c>
      <c r="Y146" s="1352" t="e">
        <f>SUM(AB146:AF146)</f>
        <v>#REF!</v>
      </c>
      <c r="Z146" s="1348" t="e">
        <f>SUM(Y146)/1.27</f>
        <v>#REF!</v>
      </c>
      <c r="AA146" s="1347" t="e">
        <f>SUM(Z146)*0.27</f>
        <v>#REF!</v>
      </c>
      <c r="AB146" s="1348" t="e">
        <f>SUM(X146+#REF!)</f>
        <v>#REF!</v>
      </c>
      <c r="AC146" s="1137" t="e">
        <f>SUM(#REF!+#REF!)</f>
        <v>#REF!</v>
      </c>
      <c r="AD146" s="1347" t="e">
        <f>SUM(#REF!+#REF!)</f>
        <v>#REF!</v>
      </c>
    </row>
    <row r="147" spans="1:30" s="293" customFormat="1" ht="15" hidden="1" customHeight="1">
      <c r="A147" s="1389"/>
      <c r="B147" s="1343"/>
      <c r="C147" s="1344"/>
      <c r="D147" s="1345"/>
      <c r="E147" s="1346"/>
      <c r="F147" s="1345"/>
      <c r="G147" s="1345"/>
      <c r="H147" s="1346"/>
      <c r="I147" s="1347">
        <f t="shared" si="77"/>
        <v>0</v>
      </c>
      <c r="J147" s="1348">
        <f t="shared" si="78"/>
        <v>0</v>
      </c>
      <c r="K147" s="1347">
        <f t="shared" si="79"/>
        <v>0</v>
      </c>
      <c r="L147" s="1137">
        <v>0</v>
      </c>
      <c r="M147" s="1137">
        <v>0</v>
      </c>
      <c r="N147" s="1347">
        <v>0</v>
      </c>
      <c r="O147" s="1349">
        <f t="shared" si="80"/>
        <v>0</v>
      </c>
      <c r="P147" s="1400"/>
      <c r="Q147" s="1252"/>
      <c r="R147" s="1252"/>
      <c r="S147" s="1350">
        <f t="shared" si="81"/>
        <v>0</v>
      </c>
      <c r="T147" s="1351">
        <f t="shared" si="82"/>
        <v>0</v>
      </c>
      <c r="U147" s="660">
        <f t="shared" si="83"/>
        <v>0</v>
      </c>
      <c r="V147" s="1351">
        <f>SUM(L147+P147)</f>
        <v>0</v>
      </c>
      <c r="W147" s="451">
        <f t="shared" si="84"/>
        <v>0</v>
      </c>
      <c r="X147" s="660">
        <f t="shared" si="84"/>
        <v>0</v>
      </c>
      <c r="Y147" s="1352" t="e">
        <f>SUM(AB147:AF147)</f>
        <v>#REF!</v>
      </c>
      <c r="Z147" s="1348" t="e">
        <f>SUM(Y147)/1.27</f>
        <v>#REF!</v>
      </c>
      <c r="AA147" s="1347" t="e">
        <f>SUM(Z147)*0.27</f>
        <v>#REF!</v>
      </c>
      <c r="AB147" s="1348" t="e">
        <f>SUM(X147+#REF!)</f>
        <v>#REF!</v>
      </c>
      <c r="AC147" s="1137" t="e">
        <f>SUM(#REF!+#REF!)</f>
        <v>#REF!</v>
      </c>
      <c r="AD147" s="1347" t="e">
        <f>SUM(#REF!+#REF!)</f>
        <v>#REF!</v>
      </c>
    </row>
    <row r="148" spans="1:30" s="293" customFormat="1" ht="7.5" customHeight="1">
      <c r="A148" s="1389"/>
      <c r="B148" s="1343"/>
      <c r="C148" s="1344"/>
      <c r="D148" s="1345"/>
      <c r="E148" s="1346"/>
      <c r="F148" s="1345"/>
      <c r="G148" s="1345"/>
      <c r="H148" s="1346"/>
      <c r="I148" s="1347"/>
      <c r="J148" s="1348"/>
      <c r="K148" s="1347"/>
      <c r="L148" s="1137"/>
      <c r="M148" s="1137"/>
      <c r="N148" s="1347"/>
      <c r="O148" s="1403"/>
      <c r="P148" s="1404"/>
      <c r="Q148" s="1405"/>
      <c r="R148" s="1405"/>
      <c r="S148" s="1350"/>
      <c r="T148" s="1351"/>
      <c r="U148" s="660"/>
      <c r="V148" s="1351"/>
      <c r="W148" s="451"/>
      <c r="X148" s="660"/>
      <c r="Y148" s="1352"/>
      <c r="Z148" s="1348"/>
      <c r="AA148" s="1347"/>
      <c r="AB148" s="1348"/>
      <c r="AC148" s="1137"/>
      <c r="AD148" s="1347"/>
    </row>
    <row r="149" spans="1:30" s="293" customFormat="1" ht="15" hidden="1" customHeight="1">
      <c r="A149" s="1328" t="s">
        <v>174</v>
      </c>
      <c r="B149" s="1329"/>
      <c r="C149" s="1330"/>
      <c r="D149" s="1331"/>
      <c r="E149" s="1332"/>
      <c r="F149" s="1331"/>
      <c r="G149" s="1331"/>
      <c r="H149" s="1332"/>
      <c r="I149" s="1333">
        <f t="shared" ref="I149:AD149" si="85">SUM(I150:I153)</f>
        <v>0</v>
      </c>
      <c r="J149" s="1334">
        <f t="shared" si="85"/>
        <v>0</v>
      </c>
      <c r="K149" s="1333">
        <f t="shared" si="85"/>
        <v>0</v>
      </c>
      <c r="L149" s="1335">
        <f t="shared" si="85"/>
        <v>0</v>
      </c>
      <c r="M149" s="1335">
        <f t="shared" si="85"/>
        <v>0</v>
      </c>
      <c r="N149" s="1333">
        <f t="shared" si="85"/>
        <v>0</v>
      </c>
      <c r="O149" s="1393">
        <f t="shared" si="85"/>
        <v>0</v>
      </c>
      <c r="P149" s="1394">
        <f t="shared" si="85"/>
        <v>0</v>
      </c>
      <c r="Q149" s="1337">
        <f t="shared" si="85"/>
        <v>0</v>
      </c>
      <c r="R149" s="1337">
        <f t="shared" si="85"/>
        <v>0</v>
      </c>
      <c r="S149" s="1338">
        <f t="shared" si="85"/>
        <v>0</v>
      </c>
      <c r="T149" s="1339">
        <f t="shared" si="85"/>
        <v>0</v>
      </c>
      <c r="U149" s="1340">
        <f t="shared" si="85"/>
        <v>0</v>
      </c>
      <c r="V149" s="1339">
        <f t="shared" si="85"/>
        <v>0</v>
      </c>
      <c r="W149" s="1341">
        <f t="shared" si="85"/>
        <v>0</v>
      </c>
      <c r="X149" s="1340">
        <f t="shared" si="85"/>
        <v>0</v>
      </c>
      <c r="Y149" s="1342" t="e">
        <f t="shared" si="85"/>
        <v>#REF!</v>
      </c>
      <c r="Z149" s="1334" t="e">
        <f t="shared" si="85"/>
        <v>#REF!</v>
      </c>
      <c r="AA149" s="1333" t="e">
        <f t="shared" si="85"/>
        <v>#REF!</v>
      </c>
      <c r="AB149" s="1334" t="e">
        <f t="shared" si="85"/>
        <v>#REF!</v>
      </c>
      <c r="AC149" s="1335" t="e">
        <f t="shared" si="85"/>
        <v>#REF!</v>
      </c>
      <c r="AD149" s="1333" t="e">
        <f t="shared" si="85"/>
        <v>#REF!</v>
      </c>
    </row>
    <row r="150" spans="1:30" s="293" customFormat="1" ht="15" hidden="1" customHeight="1">
      <c r="A150" s="1389"/>
      <c r="B150" s="1343"/>
      <c r="C150" s="1344"/>
      <c r="D150" s="1345"/>
      <c r="E150" s="1346"/>
      <c r="F150" s="1345"/>
      <c r="G150" s="1345"/>
      <c r="H150" s="1346"/>
      <c r="I150" s="1347">
        <f>SUM(L150:P150)</f>
        <v>0</v>
      </c>
      <c r="J150" s="1348">
        <f>SUM(I150)/1.27</f>
        <v>0</v>
      </c>
      <c r="K150" s="1347">
        <f>SUM(J150)*0.27</f>
        <v>0</v>
      </c>
      <c r="L150" s="1137">
        <v>0</v>
      </c>
      <c r="M150" s="1137">
        <v>0</v>
      </c>
      <c r="N150" s="1347">
        <v>0</v>
      </c>
      <c r="O150" s="1349">
        <f>SUM(P150:R150)</f>
        <v>0</v>
      </c>
      <c r="P150" s="1400"/>
      <c r="Q150" s="1252"/>
      <c r="R150" s="1252"/>
      <c r="S150" s="1350">
        <f>SUM(V150:X150)</f>
        <v>0</v>
      </c>
      <c r="T150" s="1351">
        <f>SUM(S150)/1.27</f>
        <v>0</v>
      </c>
      <c r="U150" s="660">
        <f>SUM(T150)*0.27</f>
        <v>0</v>
      </c>
      <c r="V150" s="1351">
        <f t="shared" ref="V150:X153" si="86">SUM(L150+P150)</f>
        <v>0</v>
      </c>
      <c r="W150" s="1406">
        <f t="shared" si="86"/>
        <v>0</v>
      </c>
      <c r="X150" s="1407">
        <f t="shared" si="86"/>
        <v>0</v>
      </c>
      <c r="Y150" s="1352" t="e">
        <f>SUM(AB150:AF150)</f>
        <v>#REF!</v>
      </c>
      <c r="Z150" s="1348" t="e">
        <f>SUM(Y150)/1.27</f>
        <v>#REF!</v>
      </c>
      <c r="AA150" s="1347" t="e">
        <f>SUM(Z150)*0.27</f>
        <v>#REF!</v>
      </c>
      <c r="AB150" s="1348" t="e">
        <f>SUM(X150+#REF!)</f>
        <v>#REF!</v>
      </c>
      <c r="AC150" s="1408" t="e">
        <f>SUM(#REF!+#REF!)</f>
        <v>#REF!</v>
      </c>
      <c r="AD150" s="1409" t="e">
        <f>SUM(#REF!+#REF!)</f>
        <v>#REF!</v>
      </c>
    </row>
    <row r="151" spans="1:30" s="293" customFormat="1" ht="15" hidden="1" customHeight="1">
      <c r="A151" s="1389"/>
      <c r="B151" s="1343"/>
      <c r="C151" s="1344"/>
      <c r="D151" s="1345"/>
      <c r="E151" s="1346"/>
      <c r="F151" s="1345"/>
      <c r="G151" s="1345"/>
      <c r="H151" s="1346"/>
      <c r="I151" s="1347">
        <f>SUM(L151:P151)</f>
        <v>0</v>
      </c>
      <c r="J151" s="1348">
        <f>SUM(I151)/1.27</f>
        <v>0</v>
      </c>
      <c r="K151" s="1347">
        <f>SUM(J151)*0.27</f>
        <v>0</v>
      </c>
      <c r="L151" s="1137">
        <v>0</v>
      </c>
      <c r="M151" s="1137">
        <v>0</v>
      </c>
      <c r="N151" s="1347">
        <v>0</v>
      </c>
      <c r="O151" s="1399">
        <f>SUM(P151:R151)</f>
        <v>0</v>
      </c>
      <c r="P151" s="1400"/>
      <c r="Q151" s="1252"/>
      <c r="R151" s="1252"/>
      <c r="S151" s="1350">
        <f>SUM(V151:X151)</f>
        <v>0</v>
      </c>
      <c r="T151" s="1351">
        <f>SUM(S151)/1.27</f>
        <v>0</v>
      </c>
      <c r="U151" s="660">
        <f>SUM(T151)*0.27</f>
        <v>0</v>
      </c>
      <c r="V151" s="1351">
        <f t="shared" si="86"/>
        <v>0</v>
      </c>
      <c r="W151" s="451">
        <f t="shared" si="86"/>
        <v>0</v>
      </c>
      <c r="X151" s="660">
        <f t="shared" si="86"/>
        <v>0</v>
      </c>
      <c r="Y151" s="1352" t="e">
        <f>SUM(AB151:AF151)</f>
        <v>#REF!</v>
      </c>
      <c r="Z151" s="1348" t="e">
        <f>SUM(Y151)/1.27</f>
        <v>#REF!</v>
      </c>
      <c r="AA151" s="1347" t="e">
        <f>SUM(Z151)*0.27</f>
        <v>#REF!</v>
      </c>
      <c r="AB151" s="1348" t="e">
        <f>SUM(X151+#REF!)</f>
        <v>#REF!</v>
      </c>
      <c r="AC151" s="1137" t="e">
        <f>SUM(#REF!+#REF!)</f>
        <v>#REF!</v>
      </c>
      <c r="AD151" s="1347" t="e">
        <f>SUM(#REF!+#REF!)</f>
        <v>#REF!</v>
      </c>
    </row>
    <row r="152" spans="1:30" s="293" customFormat="1" ht="15" hidden="1" customHeight="1">
      <c r="A152" s="1389"/>
      <c r="B152" s="1343"/>
      <c r="C152" s="1344"/>
      <c r="D152" s="1345"/>
      <c r="E152" s="1346"/>
      <c r="F152" s="1345"/>
      <c r="G152" s="1345"/>
      <c r="H152" s="1346"/>
      <c r="I152" s="1347">
        <f>SUM(L152:P152)</f>
        <v>0</v>
      </c>
      <c r="J152" s="1348">
        <f>SUM(I152)/1.27</f>
        <v>0</v>
      </c>
      <c r="K152" s="1347">
        <f>SUM(J152)*0.27</f>
        <v>0</v>
      </c>
      <c r="L152" s="1137">
        <v>0</v>
      </c>
      <c r="M152" s="1137">
        <v>0</v>
      </c>
      <c r="N152" s="1347">
        <v>0</v>
      </c>
      <c r="O152" s="1399">
        <f>SUM(P152:R152)</f>
        <v>0</v>
      </c>
      <c r="P152" s="1400"/>
      <c r="Q152" s="1252"/>
      <c r="R152" s="1252"/>
      <c r="S152" s="1350">
        <f>SUM(V152:X152)</f>
        <v>0</v>
      </c>
      <c r="T152" s="1351">
        <f>SUM(S152)/1.27</f>
        <v>0</v>
      </c>
      <c r="U152" s="660">
        <f>SUM(T152)*0.27</f>
        <v>0</v>
      </c>
      <c r="V152" s="1351">
        <f t="shared" si="86"/>
        <v>0</v>
      </c>
      <c r="W152" s="451">
        <f t="shared" si="86"/>
        <v>0</v>
      </c>
      <c r="X152" s="660">
        <f t="shared" si="86"/>
        <v>0</v>
      </c>
      <c r="Y152" s="1352" t="e">
        <f>SUM(AB152:AE152)</f>
        <v>#REF!</v>
      </c>
      <c r="Z152" s="1348" t="e">
        <f>SUM(Y152)/1.27</f>
        <v>#REF!</v>
      </c>
      <c r="AA152" s="1347" t="e">
        <f>SUM(Z152)*0.27</f>
        <v>#REF!</v>
      </c>
      <c r="AB152" s="1348" t="e">
        <f>SUM(X152+#REF!)</f>
        <v>#REF!</v>
      </c>
      <c r="AC152" s="1137" t="e">
        <f>SUM(#REF!+#REF!)</f>
        <v>#REF!</v>
      </c>
      <c r="AD152" s="1347" t="e">
        <f>SUM(#REF!+#REF!)</f>
        <v>#REF!</v>
      </c>
    </row>
    <row r="153" spans="1:30" s="293" customFormat="1" ht="15" hidden="1" customHeight="1">
      <c r="A153" s="1389"/>
      <c r="B153" s="1343"/>
      <c r="C153" s="1344"/>
      <c r="D153" s="1345"/>
      <c r="E153" s="1346"/>
      <c r="F153" s="1345"/>
      <c r="G153" s="1345"/>
      <c r="H153" s="1346"/>
      <c r="I153" s="1347">
        <f>SUM(L153:P153)</f>
        <v>0</v>
      </c>
      <c r="J153" s="1348">
        <f>SUM(I153)/1.27</f>
        <v>0</v>
      </c>
      <c r="K153" s="1347">
        <f>SUM(J153)*0.27</f>
        <v>0</v>
      </c>
      <c r="L153" s="1137">
        <v>0</v>
      </c>
      <c r="M153" s="1137">
        <v>0</v>
      </c>
      <c r="N153" s="1347">
        <v>0</v>
      </c>
      <c r="O153" s="1399">
        <f>SUM(P153:R153)</f>
        <v>0</v>
      </c>
      <c r="P153" s="1400"/>
      <c r="Q153" s="1252"/>
      <c r="R153" s="1252"/>
      <c r="S153" s="1350">
        <f>SUM(V153:X153)</f>
        <v>0</v>
      </c>
      <c r="T153" s="1351">
        <f>SUM(S153)/1.27</f>
        <v>0</v>
      </c>
      <c r="U153" s="660">
        <f>SUM(T153)*0.27</f>
        <v>0</v>
      </c>
      <c r="V153" s="1351">
        <f t="shared" si="86"/>
        <v>0</v>
      </c>
      <c r="W153" s="451">
        <f t="shared" si="86"/>
        <v>0</v>
      </c>
      <c r="X153" s="660">
        <f t="shared" si="86"/>
        <v>0</v>
      </c>
      <c r="Y153" s="1352" t="e">
        <f>SUM(AB153:AE153)</f>
        <v>#REF!</v>
      </c>
      <c r="Z153" s="1348" t="e">
        <f>SUM(Y153)/1.27</f>
        <v>#REF!</v>
      </c>
      <c r="AA153" s="1347" t="e">
        <f>SUM(Z153)*0.27</f>
        <v>#REF!</v>
      </c>
      <c r="AB153" s="1348" t="e">
        <f>SUM(X153+#REF!)</f>
        <v>#REF!</v>
      </c>
      <c r="AC153" s="1137" t="e">
        <f>SUM(#REF!+#REF!)</f>
        <v>#REF!</v>
      </c>
      <c r="AD153" s="1347" t="e">
        <f>SUM(#REF!+#REF!)</f>
        <v>#REF!</v>
      </c>
    </row>
    <row r="154" spans="1:30" s="293" customFormat="1" ht="15" customHeight="1">
      <c r="A154" s="1389"/>
      <c r="B154" s="1343"/>
      <c r="C154" s="1344"/>
      <c r="D154" s="1345"/>
      <c r="E154" s="1346"/>
      <c r="F154" s="1345"/>
      <c r="G154" s="1345"/>
      <c r="H154" s="1346"/>
      <c r="I154" s="1347"/>
      <c r="J154" s="1348"/>
      <c r="K154" s="1347"/>
      <c r="L154" s="1137"/>
      <c r="M154" s="1137"/>
      <c r="N154" s="1347"/>
      <c r="O154" s="1403"/>
      <c r="P154" s="1404"/>
      <c r="Q154" s="1405"/>
      <c r="R154" s="1405"/>
      <c r="S154" s="1350"/>
      <c r="T154" s="1351"/>
      <c r="U154" s="660"/>
      <c r="V154" s="1351"/>
      <c r="W154" s="451"/>
      <c r="X154" s="660"/>
      <c r="Y154" s="1352"/>
      <c r="Z154" s="1348"/>
      <c r="AA154" s="1347"/>
      <c r="AB154" s="1348"/>
      <c r="AC154" s="1137"/>
      <c r="AD154" s="1347"/>
    </row>
    <row r="155" spans="1:30" s="293" customFormat="1" ht="15" customHeight="1">
      <c r="A155" s="1328" t="s">
        <v>172</v>
      </c>
      <c r="B155" s="1329"/>
      <c r="C155" s="1330"/>
      <c r="D155" s="1331"/>
      <c r="E155" s="1332"/>
      <c r="F155" s="1331"/>
      <c r="G155" s="1331"/>
      <c r="H155" s="1332"/>
      <c r="I155" s="1333">
        <f t="shared" ref="I155:AD155" si="87">SUM(I156:I158)</f>
        <v>0</v>
      </c>
      <c r="J155" s="1334">
        <f t="shared" si="87"/>
        <v>0</v>
      </c>
      <c r="K155" s="1333">
        <f t="shared" si="87"/>
        <v>0</v>
      </c>
      <c r="L155" s="1335">
        <f t="shared" si="87"/>
        <v>0</v>
      </c>
      <c r="M155" s="1335">
        <f t="shared" si="87"/>
        <v>0</v>
      </c>
      <c r="N155" s="1333">
        <f t="shared" si="87"/>
        <v>0</v>
      </c>
      <c r="O155" s="1393">
        <f t="shared" si="87"/>
        <v>0</v>
      </c>
      <c r="P155" s="1394">
        <f t="shared" si="87"/>
        <v>0</v>
      </c>
      <c r="Q155" s="1337">
        <f t="shared" si="87"/>
        <v>0</v>
      </c>
      <c r="R155" s="1337">
        <f t="shared" si="87"/>
        <v>0</v>
      </c>
      <c r="S155" s="1338">
        <f t="shared" si="87"/>
        <v>3810000</v>
      </c>
      <c r="T155" s="1339">
        <f t="shared" si="87"/>
        <v>3000000</v>
      </c>
      <c r="U155" s="1340">
        <f t="shared" si="87"/>
        <v>810000</v>
      </c>
      <c r="V155" s="1339">
        <f t="shared" si="87"/>
        <v>3810000</v>
      </c>
      <c r="W155" s="1341">
        <f t="shared" si="87"/>
        <v>0</v>
      </c>
      <c r="X155" s="1340">
        <f t="shared" si="87"/>
        <v>0</v>
      </c>
      <c r="Y155" s="1342">
        <f t="shared" si="87"/>
        <v>0</v>
      </c>
      <c r="Z155" s="1334">
        <f t="shared" si="87"/>
        <v>0</v>
      </c>
      <c r="AA155" s="1333">
        <f t="shared" si="87"/>
        <v>0</v>
      </c>
      <c r="AB155" s="1334">
        <f t="shared" si="87"/>
        <v>0</v>
      </c>
      <c r="AC155" s="1335">
        <f t="shared" si="87"/>
        <v>0</v>
      </c>
      <c r="AD155" s="1333">
        <f t="shared" si="87"/>
        <v>0</v>
      </c>
    </row>
    <row r="156" spans="1:30" s="293" customFormat="1" ht="15" customHeight="1">
      <c r="A156" s="1389"/>
      <c r="B156" s="1369" t="s">
        <v>1025</v>
      </c>
      <c r="C156" s="1344"/>
      <c r="D156" s="1345"/>
      <c r="E156" s="1346"/>
      <c r="F156" s="1345"/>
      <c r="G156" s="1345"/>
      <c r="H156" s="1346"/>
      <c r="I156" s="1347">
        <f>SUM(L156:P156)</f>
        <v>0</v>
      </c>
      <c r="J156" s="1348">
        <f>SUM(I156)/1.27</f>
        <v>0</v>
      </c>
      <c r="K156" s="1347">
        <f>SUM(J156)*0.27</f>
        <v>0</v>
      </c>
      <c r="L156" s="1137">
        <v>0</v>
      </c>
      <c r="M156" s="1137">
        <v>0</v>
      </c>
      <c r="N156" s="1347">
        <v>0</v>
      </c>
      <c r="O156" s="1349">
        <f>SUM(P156:R156)</f>
        <v>0</v>
      </c>
      <c r="P156" s="1400"/>
      <c r="Q156" s="1252"/>
      <c r="R156" s="1252"/>
      <c r="S156" s="1350">
        <f>SUM(V156:X156)</f>
        <v>3810000</v>
      </c>
      <c r="T156" s="1351">
        <f>SUM(S156)/1.27</f>
        <v>3000000</v>
      </c>
      <c r="U156" s="660">
        <f>SUM(T156)*0.27</f>
        <v>810000</v>
      </c>
      <c r="V156" s="1351">
        <v>3810000</v>
      </c>
      <c r="W156" s="451">
        <f t="shared" ref="W156:X158" si="88">SUM(M156+Q156)</f>
        <v>0</v>
      </c>
      <c r="X156" s="660">
        <f t="shared" si="88"/>
        <v>0</v>
      </c>
      <c r="Y156" s="1352">
        <v>0</v>
      </c>
      <c r="Z156" s="1351">
        <v>0</v>
      </c>
      <c r="AA156" s="660">
        <v>0</v>
      </c>
      <c r="AB156" s="1348">
        <v>0</v>
      </c>
      <c r="AC156" s="1137"/>
      <c r="AD156" s="1347"/>
    </row>
    <row r="157" spans="1:30" s="293" customFormat="1" ht="15" customHeight="1">
      <c r="A157" s="1389"/>
      <c r="B157" s="1343"/>
      <c r="C157" s="1344"/>
      <c r="D157" s="1345"/>
      <c r="E157" s="1346"/>
      <c r="F157" s="1345"/>
      <c r="G157" s="1345"/>
      <c r="H157" s="1346"/>
      <c r="I157" s="1347">
        <f>SUM(L157:P157)</f>
        <v>0</v>
      </c>
      <c r="J157" s="1348">
        <f>SUM(I157)/1.27</f>
        <v>0</v>
      </c>
      <c r="K157" s="1347">
        <f>SUM(J157)*0.27</f>
        <v>0</v>
      </c>
      <c r="L157" s="1137">
        <v>0</v>
      </c>
      <c r="M157" s="1137">
        <v>0</v>
      </c>
      <c r="N157" s="1347">
        <v>0</v>
      </c>
      <c r="O157" s="1399">
        <f>SUM(P157:R157)</f>
        <v>0</v>
      </c>
      <c r="P157" s="1400"/>
      <c r="Q157" s="1252"/>
      <c r="R157" s="1252"/>
      <c r="S157" s="1350">
        <f>SUM(V157:X157)</f>
        <v>0</v>
      </c>
      <c r="T157" s="1351">
        <f>SUM(S157)/1.27</f>
        <v>0</v>
      </c>
      <c r="U157" s="660">
        <f>SUM(T157)*0.27</f>
        <v>0</v>
      </c>
      <c r="V157" s="1351">
        <f>SUM(L157+P157)</f>
        <v>0</v>
      </c>
      <c r="W157" s="451">
        <f t="shared" si="88"/>
        <v>0</v>
      </c>
      <c r="X157" s="660">
        <f t="shared" si="88"/>
        <v>0</v>
      </c>
      <c r="Y157" s="1352"/>
      <c r="Z157" s="1351"/>
      <c r="AA157" s="660"/>
      <c r="AB157" s="1348"/>
      <c r="AC157" s="1137"/>
      <c r="AD157" s="1347"/>
    </row>
    <row r="158" spans="1:30" s="293" customFormat="1" ht="15" customHeight="1">
      <c r="A158" s="1389"/>
      <c r="B158" s="1343"/>
      <c r="C158" s="1344"/>
      <c r="D158" s="1345"/>
      <c r="E158" s="1346"/>
      <c r="F158" s="1345"/>
      <c r="G158" s="1345"/>
      <c r="H158" s="1346"/>
      <c r="I158" s="1347">
        <f>SUM(L158:P158)</f>
        <v>0</v>
      </c>
      <c r="J158" s="1348">
        <f>SUM(I158)/1.27</f>
        <v>0</v>
      </c>
      <c r="K158" s="1347">
        <f>SUM(J158)*0.27</f>
        <v>0</v>
      </c>
      <c r="L158" s="1137">
        <v>0</v>
      </c>
      <c r="M158" s="1137">
        <v>0</v>
      </c>
      <c r="N158" s="1347">
        <v>0</v>
      </c>
      <c r="O158" s="1399">
        <f>SUM(P158:R158)</f>
        <v>0</v>
      </c>
      <c r="P158" s="1400"/>
      <c r="Q158" s="1252"/>
      <c r="R158" s="1252"/>
      <c r="S158" s="1350">
        <f>SUM(V158:X158)</f>
        <v>0</v>
      </c>
      <c r="T158" s="1351">
        <f>SUM(S158)/1.27</f>
        <v>0</v>
      </c>
      <c r="U158" s="660">
        <f>SUM(T158)*0.27</f>
        <v>0</v>
      </c>
      <c r="V158" s="1351">
        <f>SUM(L158+P158)</f>
        <v>0</v>
      </c>
      <c r="W158" s="451">
        <f t="shared" si="88"/>
        <v>0</v>
      </c>
      <c r="X158" s="660">
        <f t="shared" si="88"/>
        <v>0</v>
      </c>
      <c r="Y158" s="1352"/>
      <c r="Z158" s="1351"/>
      <c r="AA158" s="660"/>
      <c r="AB158" s="1348"/>
      <c r="AC158" s="1137"/>
      <c r="AD158" s="1347"/>
    </row>
    <row r="159" spans="1:30" s="293" customFormat="1" ht="15" customHeight="1">
      <c r="A159" s="1389"/>
      <c r="B159" s="1343"/>
      <c r="C159" s="1344"/>
      <c r="D159" s="1345"/>
      <c r="E159" s="1346"/>
      <c r="F159" s="1345"/>
      <c r="G159" s="1345"/>
      <c r="H159" s="1346"/>
      <c r="I159" s="1347"/>
      <c r="J159" s="1348"/>
      <c r="K159" s="1347"/>
      <c r="L159" s="1137"/>
      <c r="M159" s="1137"/>
      <c r="N159" s="1347"/>
      <c r="O159" s="1403"/>
      <c r="P159" s="1404"/>
      <c r="Q159" s="1405"/>
      <c r="R159" s="1405"/>
      <c r="S159" s="1350"/>
      <c r="T159" s="1351"/>
      <c r="U159" s="660"/>
      <c r="V159" s="1351"/>
      <c r="W159" s="451"/>
      <c r="X159" s="660"/>
      <c r="Y159" s="1352"/>
      <c r="Z159" s="1348"/>
      <c r="AA159" s="1347"/>
      <c r="AB159" s="1348"/>
      <c r="AC159" s="1137"/>
      <c r="AD159" s="1347"/>
    </row>
    <row r="160" spans="1:30" s="293" customFormat="1" ht="9.75" customHeight="1">
      <c r="A160" s="1389"/>
      <c r="B160" s="1343"/>
      <c r="C160" s="1344"/>
      <c r="D160" s="1345"/>
      <c r="E160" s="1346"/>
      <c r="F160" s="1345"/>
      <c r="G160" s="1345"/>
      <c r="H160" s="1346"/>
      <c r="I160" s="1347"/>
      <c r="J160" s="1348"/>
      <c r="K160" s="1347"/>
      <c r="L160" s="1137"/>
      <c r="M160" s="1137"/>
      <c r="N160" s="1347"/>
      <c r="O160" s="1390"/>
      <c r="P160" s="1391"/>
      <c r="Q160" s="451"/>
      <c r="R160" s="451"/>
      <c r="S160" s="1350"/>
      <c r="T160" s="1351"/>
      <c r="U160" s="660"/>
      <c r="V160" s="1351"/>
      <c r="W160" s="451"/>
      <c r="X160" s="660"/>
      <c r="Y160" s="1352"/>
      <c r="Z160" s="1348"/>
      <c r="AA160" s="1347"/>
      <c r="AB160" s="1348"/>
      <c r="AC160" s="1137"/>
      <c r="AD160" s="1347"/>
    </row>
    <row r="161" spans="1:30" s="293" customFormat="1" ht="15" customHeight="1">
      <c r="A161" s="1328" t="s">
        <v>659</v>
      </c>
      <c r="B161" s="1395"/>
      <c r="C161" s="1396">
        <f t="shared" ref="C161:R161" si="89">SUM(C165:C184)</f>
        <v>244348000</v>
      </c>
      <c r="D161" s="1397">
        <f t="shared" si="89"/>
        <v>192400000</v>
      </c>
      <c r="E161" s="1398">
        <f t="shared" si="89"/>
        <v>51948000</v>
      </c>
      <c r="F161" s="1397">
        <f t="shared" si="89"/>
        <v>244348000</v>
      </c>
      <c r="G161" s="1397">
        <f t="shared" si="89"/>
        <v>0</v>
      </c>
      <c r="H161" s="1398">
        <f t="shared" si="89"/>
        <v>0</v>
      </c>
      <c r="I161" s="1333">
        <f t="shared" si="89"/>
        <v>261754178</v>
      </c>
      <c r="J161" s="1334">
        <f t="shared" si="89"/>
        <v>206105652</v>
      </c>
      <c r="K161" s="1333">
        <f t="shared" si="89"/>
        <v>55648526</v>
      </c>
      <c r="L161" s="1335">
        <f t="shared" si="89"/>
        <v>261754178</v>
      </c>
      <c r="M161" s="1335">
        <f t="shared" si="89"/>
        <v>0</v>
      </c>
      <c r="N161" s="1333">
        <f t="shared" si="89"/>
        <v>0</v>
      </c>
      <c r="O161" s="1393">
        <f t="shared" si="89"/>
        <v>-203040234</v>
      </c>
      <c r="P161" s="1394">
        <f t="shared" si="89"/>
        <v>-203040234</v>
      </c>
      <c r="Q161" s="1337">
        <f t="shared" si="89"/>
        <v>0</v>
      </c>
      <c r="R161" s="1337">
        <f t="shared" si="89"/>
        <v>0</v>
      </c>
      <c r="S161" s="1338">
        <f>SUM(S162:S185)</f>
        <v>72729138</v>
      </c>
      <c r="T161" s="1339">
        <f>SUM(T162:T185)</f>
        <v>57367805</v>
      </c>
      <c r="U161" s="1340">
        <f>SUM(U162:U185)</f>
        <v>15361333</v>
      </c>
      <c r="V161" s="1339">
        <f>SUM(V162:V185)</f>
        <v>72729138</v>
      </c>
      <c r="W161" s="1341">
        <f t="shared" ref="W161:AD161" si="90">SUM(W165:W184)</f>
        <v>0</v>
      </c>
      <c r="X161" s="1340">
        <f t="shared" si="90"/>
        <v>0</v>
      </c>
      <c r="Y161" s="1342">
        <f t="shared" si="90"/>
        <v>57857862</v>
      </c>
      <c r="Z161" s="1334">
        <f t="shared" si="90"/>
        <v>45658140</v>
      </c>
      <c r="AA161" s="1333">
        <f t="shared" si="90"/>
        <v>12199722</v>
      </c>
      <c r="AB161" s="1334">
        <f t="shared" si="90"/>
        <v>57857862</v>
      </c>
      <c r="AC161" s="1335">
        <f t="shared" si="90"/>
        <v>0</v>
      </c>
      <c r="AD161" s="1333">
        <f t="shared" si="90"/>
        <v>0</v>
      </c>
    </row>
    <row r="162" spans="1:30" s="293" customFormat="1" ht="34.5" customHeight="1">
      <c r="A162" s="1389"/>
      <c r="B162" s="1369" t="s">
        <v>1026</v>
      </c>
      <c r="C162" s="1344"/>
      <c r="D162" s="1345"/>
      <c r="E162" s="1346"/>
      <c r="F162" s="1345"/>
      <c r="G162" s="1345"/>
      <c r="H162" s="1346"/>
      <c r="I162" s="1410"/>
      <c r="J162" s="1411"/>
      <c r="K162" s="1410"/>
      <c r="L162" s="1162"/>
      <c r="M162" s="1162"/>
      <c r="N162" s="1410"/>
      <c r="O162" s="1399"/>
      <c r="P162" s="1412"/>
      <c r="Q162" s="1413"/>
      <c r="R162" s="1413"/>
      <c r="S162" s="1350">
        <f>SUM(V162:X162)</f>
        <v>6350000</v>
      </c>
      <c r="T162" s="1351">
        <f>SUM(S162)/1.27</f>
        <v>5000000</v>
      </c>
      <c r="U162" s="660">
        <f>SUM(T162)*0.27</f>
        <v>1350000</v>
      </c>
      <c r="V162" s="1351">
        <v>6350000</v>
      </c>
      <c r="W162" s="1157"/>
      <c r="X162" s="1414"/>
      <c r="Y162" s="1415">
        <v>0</v>
      </c>
      <c r="Z162" s="1411">
        <v>0</v>
      </c>
      <c r="AA162" s="1410">
        <v>0</v>
      </c>
      <c r="AB162" s="1411">
        <v>0</v>
      </c>
      <c r="AC162" s="1162"/>
      <c r="AD162" s="1410"/>
    </row>
    <row r="163" spans="1:30" s="293" customFormat="1" ht="15" customHeight="1">
      <c r="A163" s="1389"/>
      <c r="B163" s="1369" t="s">
        <v>1027</v>
      </c>
      <c r="C163" s="1344"/>
      <c r="D163" s="1345"/>
      <c r="E163" s="1346"/>
      <c r="F163" s="1345"/>
      <c r="G163" s="1345"/>
      <c r="H163" s="1346"/>
      <c r="I163" s="1410"/>
      <c r="J163" s="1411"/>
      <c r="K163" s="1410"/>
      <c r="L163" s="1162"/>
      <c r="M163" s="1162"/>
      <c r="N163" s="1410"/>
      <c r="O163" s="1399"/>
      <c r="P163" s="1412"/>
      <c r="Q163" s="1413"/>
      <c r="R163" s="1413"/>
      <c r="S163" s="1416"/>
      <c r="T163" s="1390"/>
      <c r="U163" s="1414"/>
      <c r="V163" s="1390"/>
      <c r="W163" s="1157"/>
      <c r="X163" s="1414"/>
      <c r="Y163" s="1415"/>
      <c r="Z163" s="1411"/>
      <c r="AA163" s="1410"/>
      <c r="AB163" s="1411"/>
      <c r="AC163" s="1162"/>
      <c r="AD163" s="1410"/>
    </row>
    <row r="164" spans="1:30" s="293" customFormat="1" ht="15" customHeight="1">
      <c r="A164" s="1389"/>
      <c r="B164" s="1369" t="s">
        <v>1028</v>
      </c>
      <c r="C164" s="1344"/>
      <c r="D164" s="1345"/>
      <c r="E164" s="1346"/>
      <c r="F164" s="1345"/>
      <c r="G164" s="1345"/>
      <c r="H164" s="1346"/>
      <c r="I164" s="1410"/>
      <c r="J164" s="1411"/>
      <c r="K164" s="1410"/>
      <c r="L164" s="1162"/>
      <c r="M164" s="1162"/>
      <c r="N164" s="1410"/>
      <c r="O164" s="1399"/>
      <c r="P164" s="1412"/>
      <c r="Q164" s="1413"/>
      <c r="R164" s="1413"/>
      <c r="S164" s="1416"/>
      <c r="T164" s="1390"/>
      <c r="U164" s="1414"/>
      <c r="V164" s="1390"/>
      <c r="W164" s="1157"/>
      <c r="X164" s="1414"/>
      <c r="Y164" s="1415"/>
      <c r="Z164" s="1411"/>
      <c r="AA164" s="1410"/>
      <c r="AB164" s="1411"/>
      <c r="AC164" s="1162"/>
      <c r="AD164" s="1410"/>
    </row>
    <row r="165" spans="1:30" s="293" customFormat="1" ht="27" customHeight="1">
      <c r="A165" s="1389"/>
      <c r="B165" s="1369" t="s">
        <v>1029</v>
      </c>
      <c r="C165" s="1344">
        <f t="shared" ref="C165:C185" si="91">D165+E165</f>
        <v>6350000</v>
      </c>
      <c r="D165" s="1345">
        <v>5000000</v>
      </c>
      <c r="E165" s="1346">
        <v>1350000</v>
      </c>
      <c r="F165" s="1345">
        <v>6350000</v>
      </c>
      <c r="G165" s="1345">
        <v>0</v>
      </c>
      <c r="H165" s="1346">
        <v>0</v>
      </c>
      <c r="I165" s="1347">
        <f t="shared" ref="I165:I184" si="92">SUM(L165:N165)</f>
        <v>6350000</v>
      </c>
      <c r="J165" s="1348">
        <f t="shared" ref="J165:J184" si="93">SUM(I165)/1.27</f>
        <v>5000000</v>
      </c>
      <c r="K165" s="1347">
        <f t="shared" ref="K165:K184" si="94">SUM(J165)*0.27</f>
        <v>1350000</v>
      </c>
      <c r="L165" s="1137">
        <v>6350000</v>
      </c>
      <c r="M165" s="1137">
        <v>0</v>
      </c>
      <c r="N165" s="1347">
        <v>0</v>
      </c>
      <c r="O165" s="1399">
        <f t="shared" ref="O165:O184" si="95">SUM(P165:R165)</f>
        <v>0</v>
      </c>
      <c r="P165" s="1400"/>
      <c r="Q165" s="1252"/>
      <c r="R165" s="1252"/>
      <c r="S165" s="1350">
        <f t="shared" ref="S165:S184" si="96">SUM(V165:X165)</f>
        <v>0</v>
      </c>
      <c r="T165" s="1351">
        <f t="shared" ref="T165:T177" si="97">SUM(S165)/1.27</f>
        <v>0</v>
      </c>
      <c r="U165" s="660">
        <f t="shared" ref="U165:U177" si="98">SUM(T165)*0.27</f>
        <v>0</v>
      </c>
      <c r="V165" s="1351">
        <v>0</v>
      </c>
      <c r="W165" s="451">
        <f t="shared" ref="W165:W184" si="99">SUM(M165+Q165)</f>
        <v>0</v>
      </c>
      <c r="X165" s="660">
        <f t="shared" ref="X165:X184" si="100">SUM(N165+R165)</f>
        <v>0</v>
      </c>
      <c r="Y165" s="1352">
        <v>0</v>
      </c>
      <c r="Z165" s="1348">
        <v>0</v>
      </c>
      <c r="AA165" s="1347">
        <v>0</v>
      </c>
      <c r="AB165" s="1348">
        <v>0</v>
      </c>
      <c r="AC165" s="1137"/>
      <c r="AD165" s="1347"/>
    </row>
    <row r="166" spans="1:30" s="293" customFormat="1" ht="15" customHeight="1">
      <c r="A166" s="1389"/>
      <c r="B166" s="1369" t="s">
        <v>1030</v>
      </c>
      <c r="C166" s="1344">
        <f t="shared" si="91"/>
        <v>27432000</v>
      </c>
      <c r="D166" s="1345">
        <v>21600000</v>
      </c>
      <c r="E166" s="1346">
        <v>5832000</v>
      </c>
      <c r="F166" s="1345">
        <v>27432000</v>
      </c>
      <c r="G166" s="1345">
        <v>0</v>
      </c>
      <c r="H166" s="1346">
        <v>0</v>
      </c>
      <c r="I166" s="1347">
        <f t="shared" si="92"/>
        <v>0</v>
      </c>
      <c r="J166" s="1348">
        <f t="shared" si="93"/>
        <v>0</v>
      </c>
      <c r="K166" s="1347">
        <f t="shared" si="94"/>
        <v>0</v>
      </c>
      <c r="L166" s="1137">
        <v>0</v>
      </c>
      <c r="M166" s="1137">
        <v>0</v>
      </c>
      <c r="N166" s="1347">
        <v>0</v>
      </c>
      <c r="O166" s="1399">
        <f t="shared" si="95"/>
        <v>0</v>
      </c>
      <c r="P166" s="1400"/>
      <c r="Q166" s="1252"/>
      <c r="R166" s="1252"/>
      <c r="S166" s="1350">
        <f t="shared" si="96"/>
        <v>1363726</v>
      </c>
      <c r="T166" s="1351">
        <f t="shared" si="97"/>
        <v>1073800</v>
      </c>
      <c r="U166" s="660">
        <f t="shared" si="98"/>
        <v>289926</v>
      </c>
      <c r="V166" s="1351">
        <v>1363726</v>
      </c>
      <c r="W166" s="451">
        <f t="shared" si="99"/>
        <v>0</v>
      </c>
      <c r="X166" s="660">
        <f t="shared" si="100"/>
        <v>0</v>
      </c>
      <c r="Y166" s="1352">
        <v>1363726</v>
      </c>
      <c r="Z166" s="1348">
        <v>1073800</v>
      </c>
      <c r="AA166" s="1347">
        <v>289926</v>
      </c>
      <c r="AB166" s="1348">
        <v>1363726</v>
      </c>
      <c r="AC166" s="1137"/>
      <c r="AD166" s="1347"/>
    </row>
    <row r="167" spans="1:30" s="293" customFormat="1" ht="24.75" customHeight="1">
      <c r="A167" s="1389"/>
      <c r="B167" s="1369" t="s">
        <v>1031</v>
      </c>
      <c r="C167" s="1344">
        <f t="shared" si="91"/>
        <v>36830000</v>
      </c>
      <c r="D167" s="1345">
        <v>29000000</v>
      </c>
      <c r="E167" s="1346">
        <v>7830000</v>
      </c>
      <c r="F167" s="1345">
        <v>36830000</v>
      </c>
      <c r="G167" s="1345">
        <v>0</v>
      </c>
      <c r="H167" s="1346">
        <v>0</v>
      </c>
      <c r="I167" s="1347">
        <f t="shared" si="92"/>
        <v>36830000</v>
      </c>
      <c r="J167" s="1348">
        <f t="shared" si="93"/>
        <v>29000000</v>
      </c>
      <c r="K167" s="1347">
        <f t="shared" si="94"/>
        <v>7830000</v>
      </c>
      <c r="L167" s="1137">
        <v>36830000</v>
      </c>
      <c r="M167" s="1137">
        <v>0</v>
      </c>
      <c r="N167" s="1347">
        <v>0</v>
      </c>
      <c r="O167" s="1399">
        <f t="shared" si="95"/>
        <v>-36830000</v>
      </c>
      <c r="P167" s="1400">
        <v>-36830000</v>
      </c>
      <c r="Q167" s="1252"/>
      <c r="R167" s="1252"/>
      <c r="S167" s="1350">
        <f t="shared" si="96"/>
        <v>0</v>
      </c>
      <c r="T167" s="1351">
        <f t="shared" si="97"/>
        <v>0</v>
      </c>
      <c r="U167" s="660">
        <f t="shared" si="98"/>
        <v>0</v>
      </c>
      <c r="V167" s="1351">
        <f>SUM(L167+P167)</f>
        <v>0</v>
      </c>
      <c r="W167" s="451">
        <f t="shared" si="99"/>
        <v>0</v>
      </c>
      <c r="X167" s="660">
        <f t="shared" si="100"/>
        <v>0</v>
      </c>
      <c r="Y167" s="1352">
        <v>0</v>
      </c>
      <c r="Z167" s="1348">
        <v>0</v>
      </c>
      <c r="AA167" s="1347">
        <v>0</v>
      </c>
      <c r="AB167" s="1348">
        <v>0</v>
      </c>
      <c r="AC167" s="1137"/>
      <c r="AD167" s="1347"/>
    </row>
    <row r="168" spans="1:30" s="293" customFormat="1" ht="15" customHeight="1">
      <c r="A168" s="1389"/>
      <c r="B168" s="1369" t="s">
        <v>1032</v>
      </c>
      <c r="C168" s="1344">
        <f t="shared" si="91"/>
        <v>3810000</v>
      </c>
      <c r="D168" s="1345">
        <v>3000000</v>
      </c>
      <c r="E168" s="1346">
        <v>810000</v>
      </c>
      <c r="F168" s="1345">
        <v>3810000</v>
      </c>
      <c r="G168" s="1345">
        <v>0</v>
      </c>
      <c r="H168" s="1346">
        <v>0</v>
      </c>
      <c r="I168" s="1347">
        <f t="shared" si="92"/>
        <v>3810000</v>
      </c>
      <c r="J168" s="1348">
        <f t="shared" si="93"/>
        <v>3000000</v>
      </c>
      <c r="K168" s="1347">
        <f t="shared" si="94"/>
        <v>810000</v>
      </c>
      <c r="L168" s="1137">
        <v>3810000</v>
      </c>
      <c r="M168" s="1137">
        <v>0</v>
      </c>
      <c r="N168" s="1347">
        <v>0</v>
      </c>
      <c r="O168" s="1399">
        <f t="shared" si="95"/>
        <v>-3810000</v>
      </c>
      <c r="P168" s="1400">
        <v>-3810000</v>
      </c>
      <c r="Q168" s="1252"/>
      <c r="R168" s="1252"/>
      <c r="S168" s="1350">
        <f t="shared" si="96"/>
        <v>0</v>
      </c>
      <c r="T168" s="1351">
        <f t="shared" si="97"/>
        <v>0</v>
      </c>
      <c r="U168" s="660">
        <f t="shared" si="98"/>
        <v>0</v>
      </c>
      <c r="V168" s="1351">
        <f>SUM(L168+P168)</f>
        <v>0</v>
      </c>
      <c r="W168" s="451">
        <f t="shared" si="99"/>
        <v>0</v>
      </c>
      <c r="X168" s="660">
        <f t="shared" si="100"/>
        <v>0</v>
      </c>
      <c r="Y168" s="1352"/>
      <c r="Z168" s="1348"/>
      <c r="AA168" s="1347"/>
      <c r="AB168" s="1348"/>
      <c r="AC168" s="1137"/>
      <c r="AD168" s="1347"/>
    </row>
    <row r="169" spans="1:30" s="293" customFormat="1" ht="15" customHeight="1">
      <c r="A169" s="1389"/>
      <c r="B169" s="1369" t="s">
        <v>1033</v>
      </c>
      <c r="C169" s="1344">
        <f t="shared" si="91"/>
        <v>1905000</v>
      </c>
      <c r="D169" s="1345">
        <v>1500000</v>
      </c>
      <c r="E169" s="1346">
        <v>405000</v>
      </c>
      <c r="F169" s="1345">
        <v>1905000</v>
      </c>
      <c r="G169" s="1345">
        <v>0</v>
      </c>
      <c r="H169" s="1346">
        <v>0</v>
      </c>
      <c r="I169" s="1347">
        <f t="shared" si="92"/>
        <v>1905000</v>
      </c>
      <c r="J169" s="1348">
        <f t="shared" si="93"/>
        <v>1500000</v>
      </c>
      <c r="K169" s="1347">
        <f t="shared" si="94"/>
        <v>405000</v>
      </c>
      <c r="L169" s="1137">
        <v>1905000</v>
      </c>
      <c r="M169" s="1137">
        <v>0</v>
      </c>
      <c r="N169" s="1347">
        <v>0</v>
      </c>
      <c r="O169" s="1399">
        <f t="shared" si="95"/>
        <v>-541274</v>
      </c>
      <c r="P169" s="1400">
        <v>-541274</v>
      </c>
      <c r="Q169" s="1252"/>
      <c r="R169" s="1252"/>
      <c r="S169" s="1350">
        <f t="shared" si="96"/>
        <v>3810000</v>
      </c>
      <c r="T169" s="1351">
        <f t="shared" si="97"/>
        <v>3000000</v>
      </c>
      <c r="U169" s="660">
        <f t="shared" si="98"/>
        <v>810000</v>
      </c>
      <c r="V169" s="1351">
        <v>3810000</v>
      </c>
      <c r="W169" s="451">
        <f t="shared" si="99"/>
        <v>0</v>
      </c>
      <c r="X169" s="660">
        <f t="shared" si="100"/>
        <v>0</v>
      </c>
      <c r="Y169" s="1352">
        <v>2448293</v>
      </c>
      <c r="Z169" s="1348">
        <v>1927790</v>
      </c>
      <c r="AA169" s="1347">
        <v>520503</v>
      </c>
      <c r="AB169" s="1348">
        <v>2448293</v>
      </c>
      <c r="AC169" s="1137"/>
      <c r="AD169" s="1347"/>
    </row>
    <row r="170" spans="1:30" s="293" customFormat="1" ht="41.25" customHeight="1">
      <c r="A170" s="1389"/>
      <c r="B170" s="1369" t="s">
        <v>1034</v>
      </c>
      <c r="C170" s="1344">
        <f t="shared" si="91"/>
        <v>27940000</v>
      </c>
      <c r="D170" s="1345">
        <v>22000000</v>
      </c>
      <c r="E170" s="1346">
        <v>5940000</v>
      </c>
      <c r="F170" s="1345">
        <v>27940000</v>
      </c>
      <c r="G170" s="1345">
        <v>0</v>
      </c>
      <c r="H170" s="1346">
        <v>0</v>
      </c>
      <c r="I170" s="1347">
        <f t="shared" si="92"/>
        <v>27940000</v>
      </c>
      <c r="J170" s="1348">
        <f t="shared" si="93"/>
        <v>22000000</v>
      </c>
      <c r="K170" s="1347">
        <f t="shared" si="94"/>
        <v>5940000</v>
      </c>
      <c r="L170" s="1137">
        <v>27940000</v>
      </c>
      <c r="M170" s="1137">
        <v>0</v>
      </c>
      <c r="N170" s="1347">
        <v>0</v>
      </c>
      <c r="O170" s="1399">
        <f t="shared" si="95"/>
        <v>-27940000</v>
      </c>
      <c r="P170" s="1400">
        <v>-27940000</v>
      </c>
      <c r="Q170" s="1252"/>
      <c r="R170" s="1252"/>
      <c r="S170" s="1350">
        <f t="shared" si="96"/>
        <v>0</v>
      </c>
      <c r="T170" s="1351">
        <f t="shared" si="97"/>
        <v>0</v>
      </c>
      <c r="U170" s="660">
        <f t="shared" si="98"/>
        <v>0</v>
      </c>
      <c r="V170" s="1351">
        <f>SUM(L170+P170)</f>
        <v>0</v>
      </c>
      <c r="W170" s="451">
        <f t="shared" si="99"/>
        <v>0</v>
      </c>
      <c r="X170" s="660">
        <f t="shared" si="100"/>
        <v>0</v>
      </c>
      <c r="Y170" s="1352">
        <v>0</v>
      </c>
      <c r="Z170" s="1348">
        <v>0</v>
      </c>
      <c r="AA170" s="1347">
        <v>0</v>
      </c>
      <c r="AB170" s="1348">
        <v>0</v>
      </c>
      <c r="AC170" s="1137"/>
      <c r="AD170" s="1347"/>
    </row>
    <row r="171" spans="1:30" s="293" customFormat="1" ht="41.25" customHeight="1">
      <c r="A171" s="1389"/>
      <c r="B171" s="1369" t="s">
        <v>1035</v>
      </c>
      <c r="C171" s="1344">
        <f t="shared" si="91"/>
        <v>67310000</v>
      </c>
      <c r="D171" s="1345">
        <v>53000000</v>
      </c>
      <c r="E171" s="1346">
        <v>14310000</v>
      </c>
      <c r="F171" s="1345">
        <v>67310000</v>
      </c>
      <c r="G171" s="1345">
        <v>0</v>
      </c>
      <c r="H171" s="1346">
        <v>0</v>
      </c>
      <c r="I171" s="1347">
        <f t="shared" si="92"/>
        <v>67310000</v>
      </c>
      <c r="J171" s="1348">
        <f t="shared" si="93"/>
        <v>53000000</v>
      </c>
      <c r="K171" s="1347">
        <f t="shared" si="94"/>
        <v>14310000</v>
      </c>
      <c r="L171" s="1137">
        <v>67310000</v>
      </c>
      <c r="M171" s="1137">
        <v>0</v>
      </c>
      <c r="N171" s="1347">
        <v>0</v>
      </c>
      <c r="O171" s="1399">
        <f t="shared" si="95"/>
        <v>-67310000</v>
      </c>
      <c r="P171" s="1400">
        <v>-67310000</v>
      </c>
      <c r="Q171" s="1252"/>
      <c r="R171" s="1252"/>
      <c r="S171" s="1350">
        <f t="shared" si="96"/>
        <v>66040</v>
      </c>
      <c r="T171" s="1351">
        <f t="shared" si="97"/>
        <v>52000</v>
      </c>
      <c r="U171" s="660">
        <f t="shared" si="98"/>
        <v>14040</v>
      </c>
      <c r="V171" s="1351">
        <v>66040</v>
      </c>
      <c r="W171" s="451">
        <f t="shared" si="99"/>
        <v>0</v>
      </c>
      <c r="X171" s="660">
        <f t="shared" si="100"/>
        <v>0</v>
      </c>
      <c r="Y171" s="1352">
        <v>0</v>
      </c>
      <c r="Z171" s="1348">
        <v>0</v>
      </c>
      <c r="AA171" s="1347">
        <v>0</v>
      </c>
      <c r="AB171" s="1348">
        <v>0</v>
      </c>
      <c r="AC171" s="1137"/>
      <c r="AD171" s="1347"/>
    </row>
    <row r="172" spans="1:30" s="293" customFormat="1" ht="15" customHeight="1">
      <c r="A172" s="1389"/>
      <c r="B172" s="1369" t="s">
        <v>1036</v>
      </c>
      <c r="C172" s="1344">
        <f t="shared" si="91"/>
        <v>3810000</v>
      </c>
      <c r="D172" s="1345">
        <v>3000000</v>
      </c>
      <c r="E172" s="1346">
        <v>810000</v>
      </c>
      <c r="F172" s="1345">
        <v>3810000</v>
      </c>
      <c r="G172" s="1345">
        <v>0</v>
      </c>
      <c r="H172" s="1346">
        <v>0</v>
      </c>
      <c r="I172" s="1347">
        <f t="shared" si="92"/>
        <v>3810000</v>
      </c>
      <c r="J172" s="1348">
        <f t="shared" si="93"/>
        <v>3000000</v>
      </c>
      <c r="K172" s="1347">
        <f t="shared" si="94"/>
        <v>810000</v>
      </c>
      <c r="L172" s="1137">
        <v>3810000</v>
      </c>
      <c r="M172" s="1137">
        <v>0</v>
      </c>
      <c r="N172" s="1347">
        <v>0</v>
      </c>
      <c r="O172" s="1399">
        <f t="shared" si="95"/>
        <v>0</v>
      </c>
      <c r="P172" s="1400"/>
      <c r="Q172" s="1252"/>
      <c r="R172" s="1252"/>
      <c r="S172" s="1350">
        <f t="shared" si="96"/>
        <v>2286000</v>
      </c>
      <c r="T172" s="1351">
        <f t="shared" si="97"/>
        <v>1800000</v>
      </c>
      <c r="U172" s="660">
        <f t="shared" si="98"/>
        <v>486000</v>
      </c>
      <c r="V172" s="634">
        <v>2286000</v>
      </c>
      <c r="W172" s="451">
        <f t="shared" si="99"/>
        <v>0</v>
      </c>
      <c r="X172" s="660">
        <f t="shared" si="100"/>
        <v>0</v>
      </c>
      <c r="Y172" s="1352">
        <v>1912271</v>
      </c>
      <c r="Z172" s="1348">
        <v>1505725</v>
      </c>
      <c r="AA172" s="1347">
        <v>406546</v>
      </c>
      <c r="AB172" s="1348">
        <v>1912271</v>
      </c>
      <c r="AC172" s="1137"/>
      <c r="AD172" s="1347"/>
    </row>
    <row r="173" spans="1:30" s="293" customFormat="1" ht="29.25" customHeight="1">
      <c r="A173" s="1389"/>
      <c r="B173" s="1417" t="s">
        <v>1037</v>
      </c>
      <c r="C173" s="1344">
        <f t="shared" si="91"/>
        <v>38735000</v>
      </c>
      <c r="D173" s="1345">
        <v>30500000</v>
      </c>
      <c r="E173" s="1346">
        <v>8235000</v>
      </c>
      <c r="F173" s="1345">
        <v>38735000</v>
      </c>
      <c r="G173" s="1345">
        <v>0</v>
      </c>
      <c r="H173" s="1346">
        <v>0</v>
      </c>
      <c r="I173" s="1347">
        <f t="shared" si="92"/>
        <v>38735000</v>
      </c>
      <c r="J173" s="1348">
        <f t="shared" si="93"/>
        <v>30500000</v>
      </c>
      <c r="K173" s="1347">
        <f t="shared" si="94"/>
        <v>8235000</v>
      </c>
      <c r="L173" s="1137">
        <v>38735000</v>
      </c>
      <c r="M173" s="1137">
        <v>0</v>
      </c>
      <c r="N173" s="1347">
        <v>0</v>
      </c>
      <c r="O173" s="1399">
        <f t="shared" si="95"/>
        <v>-38735000</v>
      </c>
      <c r="P173" s="1400">
        <v>-38735000</v>
      </c>
      <c r="Q173" s="1252"/>
      <c r="R173" s="1252"/>
      <c r="S173" s="1350">
        <f t="shared" si="96"/>
        <v>15811500</v>
      </c>
      <c r="T173" s="1351">
        <f t="shared" si="97"/>
        <v>12450000</v>
      </c>
      <c r="U173" s="660">
        <f t="shared" si="98"/>
        <v>3361500</v>
      </c>
      <c r="V173" s="1351">
        <v>15811500</v>
      </c>
      <c r="W173" s="451">
        <f t="shared" si="99"/>
        <v>0</v>
      </c>
      <c r="X173" s="660">
        <f t="shared" si="100"/>
        <v>0</v>
      </c>
      <c r="Y173" s="1352">
        <v>15811500</v>
      </c>
      <c r="Z173" s="1348">
        <v>12450000</v>
      </c>
      <c r="AA173" s="1347">
        <v>3361500</v>
      </c>
      <c r="AB173" s="1348">
        <v>15811500</v>
      </c>
      <c r="AC173" s="1137"/>
      <c r="AD173" s="1347"/>
    </row>
    <row r="174" spans="1:30" s="293" customFormat="1" ht="27" customHeight="1">
      <c r="A174" s="1389"/>
      <c r="B174" s="1417" t="s">
        <v>1038</v>
      </c>
      <c r="C174" s="1344">
        <f t="shared" si="91"/>
        <v>27940000</v>
      </c>
      <c r="D174" s="1345">
        <v>22000000</v>
      </c>
      <c r="E174" s="1346">
        <v>5940000</v>
      </c>
      <c r="F174" s="1345">
        <v>27940000</v>
      </c>
      <c r="G174" s="1345">
        <v>0</v>
      </c>
      <c r="H174" s="1346">
        <v>0</v>
      </c>
      <c r="I174" s="1347">
        <f t="shared" si="92"/>
        <v>27940000</v>
      </c>
      <c r="J174" s="1348">
        <f t="shared" si="93"/>
        <v>22000000</v>
      </c>
      <c r="K174" s="1347">
        <f t="shared" si="94"/>
        <v>5940000</v>
      </c>
      <c r="L174" s="1137">
        <v>27940000</v>
      </c>
      <c r="M174" s="1137">
        <v>0</v>
      </c>
      <c r="N174" s="1347">
        <v>0</v>
      </c>
      <c r="O174" s="1399">
        <f t="shared" si="95"/>
        <v>-27873960</v>
      </c>
      <c r="P174" s="1400">
        <v>-27873960</v>
      </c>
      <c r="Q174" s="1252"/>
      <c r="R174" s="1252"/>
      <c r="S174" s="1350">
        <f t="shared" si="96"/>
        <v>9307086</v>
      </c>
      <c r="T174" s="1351">
        <f t="shared" si="97"/>
        <v>7328414</v>
      </c>
      <c r="U174" s="660">
        <f t="shared" si="98"/>
        <v>1978672</v>
      </c>
      <c r="V174" s="1351">
        <v>9307086</v>
      </c>
      <c r="W174" s="451">
        <f t="shared" si="99"/>
        <v>0</v>
      </c>
      <c r="X174" s="660">
        <f t="shared" si="100"/>
        <v>0</v>
      </c>
      <c r="Y174" s="1352">
        <v>9307086</v>
      </c>
      <c r="Z174" s="1348">
        <v>7328414</v>
      </c>
      <c r="AA174" s="1347">
        <v>1978672</v>
      </c>
      <c r="AB174" s="1348">
        <v>9307086</v>
      </c>
      <c r="AC174" s="1137"/>
      <c r="AD174" s="1347"/>
    </row>
    <row r="175" spans="1:30" s="293" customFormat="1" ht="15" customHeight="1">
      <c r="A175" s="1389"/>
      <c r="B175" s="1417" t="s">
        <v>1039</v>
      </c>
      <c r="C175" s="1344">
        <f t="shared" si="91"/>
        <v>2286000</v>
      </c>
      <c r="D175" s="1345">
        <v>1800000</v>
      </c>
      <c r="E175" s="1346">
        <v>486000</v>
      </c>
      <c r="F175" s="1345">
        <v>2286000</v>
      </c>
      <c r="G175" s="1345">
        <v>0</v>
      </c>
      <c r="H175" s="1346">
        <v>0</v>
      </c>
      <c r="I175" s="1347">
        <f t="shared" si="92"/>
        <v>2286000</v>
      </c>
      <c r="J175" s="1348">
        <f t="shared" si="93"/>
        <v>1800000</v>
      </c>
      <c r="K175" s="1347">
        <f t="shared" si="94"/>
        <v>486000</v>
      </c>
      <c r="L175" s="1137">
        <v>2286000</v>
      </c>
      <c r="M175" s="1137">
        <v>0</v>
      </c>
      <c r="N175" s="1347">
        <v>0</v>
      </c>
      <c r="O175" s="1399">
        <f t="shared" si="95"/>
        <v>0</v>
      </c>
      <c r="P175" s="1400"/>
      <c r="Q175" s="1252"/>
      <c r="R175" s="1252"/>
      <c r="S175" s="1350">
        <f t="shared" si="96"/>
        <v>609092</v>
      </c>
      <c r="T175" s="1351">
        <f t="shared" si="97"/>
        <v>479600</v>
      </c>
      <c r="U175" s="660">
        <f t="shared" si="98"/>
        <v>129492</v>
      </c>
      <c r="V175" s="1351">
        <v>609092</v>
      </c>
      <c r="W175" s="451">
        <f t="shared" si="99"/>
        <v>0</v>
      </c>
      <c r="X175" s="660">
        <f t="shared" si="100"/>
        <v>0</v>
      </c>
      <c r="Y175" s="1352">
        <v>609092</v>
      </c>
      <c r="Z175" s="1348">
        <v>479600</v>
      </c>
      <c r="AA175" s="1347">
        <v>129492</v>
      </c>
      <c r="AB175" s="1348">
        <v>609092</v>
      </c>
      <c r="AC175" s="1137"/>
      <c r="AD175" s="1347"/>
    </row>
    <row r="176" spans="1:30" s="293" customFormat="1" ht="15" customHeight="1">
      <c r="A176" s="1389"/>
      <c r="B176" s="1369" t="s">
        <v>1040</v>
      </c>
      <c r="C176" s="1344">
        <f t="shared" si="91"/>
        <v>0</v>
      </c>
      <c r="D176" s="1345">
        <v>0</v>
      </c>
      <c r="E176" s="1346">
        <v>0</v>
      </c>
      <c r="F176" s="1345"/>
      <c r="G176" s="1345">
        <v>0</v>
      </c>
      <c r="H176" s="1346">
        <v>0</v>
      </c>
      <c r="I176" s="1347">
        <f t="shared" si="92"/>
        <v>15811500</v>
      </c>
      <c r="J176" s="1348">
        <f t="shared" si="93"/>
        <v>12450000</v>
      </c>
      <c r="K176" s="1347">
        <f t="shared" si="94"/>
        <v>3361500</v>
      </c>
      <c r="L176" s="1137">
        <v>15811500</v>
      </c>
      <c r="M176" s="1137">
        <v>0</v>
      </c>
      <c r="N176" s="1347">
        <v>0</v>
      </c>
      <c r="O176" s="1399">
        <f t="shared" si="95"/>
        <v>0</v>
      </c>
      <c r="P176" s="1400"/>
      <c r="Q176" s="1252"/>
      <c r="R176" s="1252"/>
      <c r="S176" s="1350">
        <f t="shared" si="96"/>
        <v>571500</v>
      </c>
      <c r="T176" s="1351">
        <f t="shared" si="97"/>
        <v>450000</v>
      </c>
      <c r="U176" s="660">
        <f t="shared" si="98"/>
        <v>121500</v>
      </c>
      <c r="V176" s="1351">
        <v>571500</v>
      </c>
      <c r="W176" s="451">
        <f t="shared" si="99"/>
        <v>0</v>
      </c>
      <c r="X176" s="660">
        <f t="shared" si="100"/>
        <v>0</v>
      </c>
      <c r="Y176" s="1352">
        <v>545034</v>
      </c>
      <c r="Z176" s="1348">
        <v>429161</v>
      </c>
      <c r="AA176" s="1347">
        <v>115873</v>
      </c>
      <c r="AB176" s="1348">
        <v>545034</v>
      </c>
      <c r="AC176" s="1137"/>
      <c r="AD176" s="1347"/>
    </row>
    <row r="177" spans="1:30" s="293" customFormat="1" ht="15" customHeight="1">
      <c r="A177" s="1389"/>
      <c r="B177" s="1369" t="s">
        <v>1041</v>
      </c>
      <c r="C177" s="1344">
        <f t="shared" si="91"/>
        <v>0</v>
      </c>
      <c r="D177" s="1345">
        <v>0</v>
      </c>
      <c r="E177" s="1346">
        <v>0</v>
      </c>
      <c r="F177" s="1345"/>
      <c r="G177" s="1345">
        <v>0</v>
      </c>
      <c r="H177" s="1346">
        <v>0</v>
      </c>
      <c r="I177" s="1347">
        <f t="shared" si="92"/>
        <v>9307086</v>
      </c>
      <c r="J177" s="1348">
        <f t="shared" si="93"/>
        <v>7328414</v>
      </c>
      <c r="K177" s="1347">
        <f t="shared" si="94"/>
        <v>1978672</v>
      </c>
      <c r="L177" s="1137">
        <v>9307086</v>
      </c>
      <c r="M177" s="1137">
        <v>0</v>
      </c>
      <c r="N177" s="1347">
        <v>0</v>
      </c>
      <c r="O177" s="1399">
        <f t="shared" si="95"/>
        <v>0</v>
      </c>
      <c r="P177" s="1400"/>
      <c r="Q177" s="1252"/>
      <c r="R177" s="1252"/>
      <c r="S177" s="1350">
        <f t="shared" si="96"/>
        <v>21556897</v>
      </c>
      <c r="T177" s="1351">
        <f t="shared" si="97"/>
        <v>16973935</v>
      </c>
      <c r="U177" s="660">
        <f t="shared" si="98"/>
        <v>4582962</v>
      </c>
      <c r="V177" s="1351">
        <v>21556897</v>
      </c>
      <c r="W177" s="451">
        <f t="shared" si="99"/>
        <v>0</v>
      </c>
      <c r="X177" s="660">
        <f t="shared" si="100"/>
        <v>0</v>
      </c>
      <c r="Y177" s="1352">
        <v>21556897</v>
      </c>
      <c r="Z177" s="1348">
        <v>16973935</v>
      </c>
      <c r="AA177" s="1347">
        <v>4582962</v>
      </c>
      <c r="AB177" s="1348">
        <v>21556897</v>
      </c>
      <c r="AC177" s="1137"/>
      <c r="AD177" s="1347"/>
    </row>
    <row r="178" spans="1:30" s="293" customFormat="1" ht="17.25" customHeight="1">
      <c r="A178" s="1389"/>
      <c r="B178" s="1369" t="s">
        <v>1042</v>
      </c>
      <c r="C178" s="1344">
        <f t="shared" si="91"/>
        <v>0</v>
      </c>
      <c r="D178" s="1345">
        <v>0</v>
      </c>
      <c r="E178" s="1346">
        <v>0</v>
      </c>
      <c r="F178" s="1345"/>
      <c r="G178" s="1345">
        <v>0</v>
      </c>
      <c r="H178" s="1346">
        <v>0</v>
      </c>
      <c r="I178" s="1347">
        <f t="shared" si="92"/>
        <v>609092</v>
      </c>
      <c r="J178" s="1348">
        <f t="shared" si="93"/>
        <v>479600</v>
      </c>
      <c r="K178" s="1347">
        <f t="shared" si="94"/>
        <v>129492</v>
      </c>
      <c r="L178" s="1137">
        <v>609092</v>
      </c>
      <c r="M178" s="1137">
        <v>0</v>
      </c>
      <c r="N178" s="1347">
        <v>0</v>
      </c>
      <c r="O178" s="1399">
        <f t="shared" si="95"/>
        <v>0</v>
      </c>
      <c r="P178" s="1400"/>
      <c r="Q178" s="1252"/>
      <c r="R178" s="1252"/>
      <c r="S178" s="1350">
        <f t="shared" si="96"/>
        <v>473980</v>
      </c>
      <c r="T178" s="1351">
        <f>SUM(S178)</f>
        <v>473980</v>
      </c>
      <c r="U178" s="660">
        <v>0</v>
      </c>
      <c r="V178" s="1351">
        <v>473980</v>
      </c>
      <c r="W178" s="451">
        <f t="shared" si="99"/>
        <v>0</v>
      </c>
      <c r="X178" s="660">
        <f t="shared" si="100"/>
        <v>0</v>
      </c>
      <c r="Y178" s="1352">
        <v>473980</v>
      </c>
      <c r="Z178" s="1348">
        <v>473980</v>
      </c>
      <c r="AA178" s="1347">
        <v>0</v>
      </c>
      <c r="AB178" s="1348">
        <v>473980</v>
      </c>
      <c r="AC178" s="1137"/>
      <c r="AD178" s="1347"/>
    </row>
    <row r="179" spans="1:30" s="293" customFormat="1" ht="38.25" customHeight="1">
      <c r="A179" s="1389"/>
      <c r="B179" s="1369" t="s">
        <v>1043</v>
      </c>
      <c r="C179" s="1344">
        <f t="shared" si="91"/>
        <v>0</v>
      </c>
      <c r="D179" s="1345">
        <v>0</v>
      </c>
      <c r="E179" s="1346">
        <v>0</v>
      </c>
      <c r="F179" s="1345"/>
      <c r="G179" s="1345">
        <v>0</v>
      </c>
      <c r="H179" s="1346">
        <v>0</v>
      </c>
      <c r="I179" s="1347">
        <f t="shared" si="92"/>
        <v>571500</v>
      </c>
      <c r="J179" s="1348">
        <f t="shared" si="93"/>
        <v>450000</v>
      </c>
      <c r="K179" s="1347">
        <f t="shared" si="94"/>
        <v>121500</v>
      </c>
      <c r="L179" s="1137">
        <v>571500</v>
      </c>
      <c r="M179" s="1137">
        <v>0</v>
      </c>
      <c r="N179" s="1347">
        <v>0</v>
      </c>
      <c r="O179" s="1399">
        <f t="shared" si="95"/>
        <v>0</v>
      </c>
      <c r="P179" s="1400"/>
      <c r="Q179" s="1252"/>
      <c r="R179" s="1252"/>
      <c r="S179" s="1350">
        <f t="shared" si="96"/>
        <v>2238948</v>
      </c>
      <c r="T179" s="1351">
        <f t="shared" ref="T179:T184" si="101">SUM(S179)/1.27</f>
        <v>1762951</v>
      </c>
      <c r="U179" s="660">
        <f t="shared" ref="U179:U184" si="102">SUM(T179)*0.27</f>
        <v>475997</v>
      </c>
      <c r="V179" s="1351">
        <v>2238948</v>
      </c>
      <c r="W179" s="451">
        <f t="shared" si="99"/>
        <v>0</v>
      </c>
      <c r="X179" s="660">
        <f t="shared" si="100"/>
        <v>0</v>
      </c>
      <c r="Y179" s="1352">
        <v>2238948</v>
      </c>
      <c r="Z179" s="1348">
        <v>1762951</v>
      </c>
      <c r="AA179" s="1347">
        <v>475997</v>
      </c>
      <c r="AB179" s="1348">
        <v>2238948</v>
      </c>
      <c r="AC179" s="1137"/>
      <c r="AD179" s="1347"/>
    </row>
    <row r="180" spans="1:30" s="293" customFormat="1" ht="25.5" customHeight="1">
      <c r="A180" s="1389"/>
      <c r="B180" s="1369" t="s">
        <v>1044</v>
      </c>
      <c r="C180" s="1344">
        <f t="shared" si="91"/>
        <v>0</v>
      </c>
      <c r="D180" s="1345">
        <v>0</v>
      </c>
      <c r="E180" s="1346">
        <v>0</v>
      </c>
      <c r="F180" s="1345"/>
      <c r="G180" s="1345">
        <v>0</v>
      </c>
      <c r="H180" s="1346">
        <v>0</v>
      </c>
      <c r="I180" s="1347">
        <f t="shared" si="92"/>
        <v>18539000</v>
      </c>
      <c r="J180" s="1348">
        <f t="shared" si="93"/>
        <v>14597638</v>
      </c>
      <c r="K180" s="1347">
        <f t="shared" si="94"/>
        <v>3941362</v>
      </c>
      <c r="L180" s="1137">
        <v>18539000</v>
      </c>
      <c r="M180" s="1137">
        <v>0</v>
      </c>
      <c r="N180" s="1347">
        <v>0</v>
      </c>
      <c r="O180" s="1399">
        <f t="shared" si="95"/>
        <v>0</v>
      </c>
      <c r="P180" s="1400"/>
      <c r="Q180" s="1252"/>
      <c r="R180" s="1252"/>
      <c r="S180" s="1350">
        <f t="shared" si="96"/>
        <v>6412389</v>
      </c>
      <c r="T180" s="1351">
        <f t="shared" si="101"/>
        <v>5049125</v>
      </c>
      <c r="U180" s="660">
        <f t="shared" si="102"/>
        <v>1363264</v>
      </c>
      <c r="V180" s="1351">
        <v>6412389</v>
      </c>
      <c r="W180" s="451">
        <f t="shared" si="99"/>
        <v>0</v>
      </c>
      <c r="X180" s="660">
        <f t="shared" si="100"/>
        <v>0</v>
      </c>
      <c r="Y180" s="1352">
        <v>0</v>
      </c>
      <c r="Z180" s="1348">
        <v>0</v>
      </c>
      <c r="AA180" s="1347">
        <v>0</v>
      </c>
      <c r="AB180" s="1348">
        <v>0</v>
      </c>
      <c r="AC180" s="1137"/>
      <c r="AD180" s="1347"/>
    </row>
    <row r="181" spans="1:30" s="293" customFormat="1" ht="15" customHeight="1">
      <c r="A181" s="1389"/>
      <c r="B181" s="1369" t="s">
        <v>1045</v>
      </c>
      <c r="C181" s="1344">
        <f t="shared" si="91"/>
        <v>0</v>
      </c>
      <c r="D181" s="1345"/>
      <c r="E181" s="1346"/>
      <c r="F181" s="1345"/>
      <c r="G181" s="1345"/>
      <c r="H181" s="1346"/>
      <c r="I181" s="1347">
        <f t="shared" si="92"/>
        <v>0</v>
      </c>
      <c r="J181" s="1348">
        <f t="shared" si="93"/>
        <v>0</v>
      </c>
      <c r="K181" s="1347">
        <f t="shared" si="94"/>
        <v>0</v>
      </c>
      <c r="L181" s="1137"/>
      <c r="M181" s="1137">
        <v>0</v>
      </c>
      <c r="N181" s="1347">
        <v>0</v>
      </c>
      <c r="O181" s="1399">
        <f t="shared" si="95"/>
        <v>0</v>
      </c>
      <c r="P181" s="1400"/>
      <c r="Q181" s="1252"/>
      <c r="R181" s="1252"/>
      <c r="S181" s="1350">
        <f t="shared" si="96"/>
        <v>1871980</v>
      </c>
      <c r="T181" s="1351">
        <f t="shared" si="101"/>
        <v>1474000</v>
      </c>
      <c r="U181" s="660">
        <f t="shared" si="102"/>
        <v>397980</v>
      </c>
      <c r="V181" s="1351">
        <v>1871980</v>
      </c>
      <c r="W181" s="451">
        <f t="shared" si="99"/>
        <v>0</v>
      </c>
      <c r="X181" s="660">
        <f t="shared" si="100"/>
        <v>0</v>
      </c>
      <c r="Y181" s="1352">
        <v>1591035</v>
      </c>
      <c r="Z181" s="1348">
        <v>1252784</v>
      </c>
      <c r="AA181" s="1347">
        <v>338251</v>
      </c>
      <c r="AB181" s="1348">
        <v>1591035</v>
      </c>
      <c r="AC181" s="1137"/>
      <c r="AD181" s="1347"/>
    </row>
    <row r="182" spans="1:30" s="293" customFormat="1" ht="15" customHeight="1">
      <c r="A182" s="1389"/>
      <c r="B182" s="1369" t="s">
        <v>1042</v>
      </c>
      <c r="C182" s="1344">
        <f t="shared" si="91"/>
        <v>0</v>
      </c>
      <c r="D182" s="1345"/>
      <c r="E182" s="1346"/>
      <c r="F182" s="1345"/>
      <c r="G182" s="1345"/>
      <c r="H182" s="1346"/>
      <c r="I182" s="1347">
        <f t="shared" si="92"/>
        <v>0</v>
      </c>
      <c r="J182" s="1348">
        <f t="shared" si="93"/>
        <v>0</v>
      </c>
      <c r="K182" s="1347">
        <f t="shared" si="94"/>
        <v>0</v>
      </c>
      <c r="L182" s="1137">
        <v>0</v>
      </c>
      <c r="M182" s="1137">
        <v>0</v>
      </c>
      <c r="N182" s="1347">
        <v>0</v>
      </c>
      <c r="O182" s="1399">
        <f t="shared" si="95"/>
        <v>0</v>
      </c>
      <c r="P182" s="1400"/>
      <c r="Q182" s="1252"/>
      <c r="R182" s="1252"/>
      <c r="S182" s="1350">
        <f t="shared" si="96"/>
        <v>0</v>
      </c>
      <c r="T182" s="1351">
        <f t="shared" si="101"/>
        <v>0</v>
      </c>
      <c r="U182" s="660">
        <f t="shared" si="102"/>
        <v>0</v>
      </c>
      <c r="V182" s="1351">
        <f>SUM(L182+P182)</f>
        <v>0</v>
      </c>
      <c r="W182" s="451">
        <f t="shared" si="99"/>
        <v>0</v>
      </c>
      <c r="X182" s="660">
        <f t="shared" si="100"/>
        <v>0</v>
      </c>
      <c r="Y182" s="1352"/>
      <c r="Z182" s="1348"/>
      <c r="AA182" s="1347"/>
      <c r="AB182" s="1348"/>
      <c r="AC182" s="1137"/>
      <c r="AD182" s="1347"/>
    </row>
    <row r="183" spans="1:30" s="293" customFormat="1" ht="15" customHeight="1">
      <c r="A183" s="1389"/>
      <c r="B183" s="1369" t="s">
        <v>1043</v>
      </c>
      <c r="C183" s="1344">
        <f t="shared" si="91"/>
        <v>0</v>
      </c>
      <c r="D183" s="1345"/>
      <c r="E183" s="1346"/>
      <c r="F183" s="1345"/>
      <c r="G183" s="1345"/>
      <c r="H183" s="1346"/>
      <c r="I183" s="1347">
        <f t="shared" si="92"/>
        <v>0</v>
      </c>
      <c r="J183" s="1348">
        <f t="shared" si="93"/>
        <v>0</v>
      </c>
      <c r="K183" s="1347">
        <f t="shared" si="94"/>
        <v>0</v>
      </c>
      <c r="L183" s="1137">
        <v>0</v>
      </c>
      <c r="M183" s="1137">
        <v>0</v>
      </c>
      <c r="N183" s="1347">
        <v>0</v>
      </c>
      <c r="O183" s="1399">
        <f t="shared" si="95"/>
        <v>0</v>
      </c>
      <c r="P183" s="1400"/>
      <c r="Q183" s="1252"/>
      <c r="R183" s="1252"/>
      <c r="S183" s="1350">
        <f t="shared" si="96"/>
        <v>0</v>
      </c>
      <c r="T183" s="1351">
        <f t="shared" si="101"/>
        <v>0</v>
      </c>
      <c r="U183" s="660">
        <f t="shared" si="102"/>
        <v>0</v>
      </c>
      <c r="V183" s="1351">
        <f>SUM(L183+P183)</f>
        <v>0</v>
      </c>
      <c r="W183" s="451">
        <f t="shared" si="99"/>
        <v>0</v>
      </c>
      <c r="X183" s="660">
        <f t="shared" si="100"/>
        <v>0</v>
      </c>
      <c r="Y183" s="1352"/>
      <c r="Z183" s="1348"/>
      <c r="AA183" s="1347"/>
      <c r="AB183" s="1348"/>
      <c r="AC183" s="1137"/>
      <c r="AD183" s="1347"/>
    </row>
    <row r="184" spans="1:30" s="293" customFormat="1" ht="26.25">
      <c r="A184" s="1389"/>
      <c r="B184" s="1369" t="s">
        <v>1044</v>
      </c>
      <c r="C184" s="1344">
        <f t="shared" si="91"/>
        <v>0</v>
      </c>
      <c r="D184" s="1345"/>
      <c r="E184" s="1346"/>
      <c r="F184" s="1345"/>
      <c r="G184" s="1345"/>
      <c r="H184" s="1346"/>
      <c r="I184" s="1347">
        <f t="shared" si="92"/>
        <v>0</v>
      </c>
      <c r="J184" s="1348">
        <f t="shared" si="93"/>
        <v>0</v>
      </c>
      <c r="K184" s="1347">
        <f t="shared" si="94"/>
        <v>0</v>
      </c>
      <c r="L184" s="1137">
        <v>0</v>
      </c>
      <c r="M184" s="1137">
        <v>0</v>
      </c>
      <c r="N184" s="1347">
        <v>0</v>
      </c>
      <c r="O184" s="1399">
        <f t="shared" si="95"/>
        <v>0</v>
      </c>
      <c r="P184" s="1400"/>
      <c r="Q184" s="1252"/>
      <c r="R184" s="1252"/>
      <c r="S184" s="1350">
        <f t="shared" si="96"/>
        <v>0</v>
      </c>
      <c r="T184" s="1351">
        <f t="shared" si="101"/>
        <v>0</v>
      </c>
      <c r="U184" s="660">
        <f t="shared" si="102"/>
        <v>0</v>
      </c>
      <c r="V184" s="1351">
        <f>SUM(L184+P184)</f>
        <v>0</v>
      </c>
      <c r="W184" s="451">
        <f t="shared" si="99"/>
        <v>0</v>
      </c>
      <c r="X184" s="660">
        <f t="shared" si="100"/>
        <v>0</v>
      </c>
      <c r="Y184" s="1352"/>
      <c r="Z184" s="1348"/>
      <c r="AA184" s="1347"/>
      <c r="AB184" s="1348"/>
      <c r="AC184" s="1137"/>
      <c r="AD184" s="1347"/>
    </row>
    <row r="185" spans="1:30" ht="18" customHeight="1">
      <c r="A185" s="1418"/>
      <c r="B185" s="1369" t="s">
        <v>1045</v>
      </c>
      <c r="C185" s="1419">
        <f t="shared" si="91"/>
        <v>0</v>
      </c>
      <c r="D185" s="1420"/>
      <c r="E185" s="1421"/>
      <c r="F185" s="1420"/>
      <c r="G185" s="1420"/>
      <c r="H185" s="1421"/>
      <c r="I185" s="1422"/>
      <c r="J185" s="1423"/>
      <c r="K185" s="1422"/>
      <c r="L185" s="1424"/>
      <c r="M185" s="1424"/>
      <c r="N185" s="1422"/>
      <c r="O185" s="1425"/>
      <c r="P185" s="1426"/>
      <c r="Q185" s="1424"/>
      <c r="R185" s="1424"/>
      <c r="S185" s="1427"/>
      <c r="T185" s="1428"/>
      <c r="U185" s="1429"/>
      <c r="V185" s="1428"/>
      <c r="W185" s="1430"/>
      <c r="X185" s="1429"/>
      <c r="Y185" s="1431"/>
      <c r="Z185" s="1423"/>
      <c r="AA185" s="1422"/>
      <c r="AB185" s="1423"/>
      <c r="AC185" s="1424"/>
      <c r="AD185" s="1422"/>
    </row>
    <row r="186" spans="1:30" s="326" customFormat="1" ht="22.5" customHeight="1">
      <c r="A186" s="1432" t="s">
        <v>1046</v>
      </c>
      <c r="B186" s="1433"/>
      <c r="C186" s="1434">
        <f t="shared" ref="C186:X186" si="103">SUM(C6:C185)/2</f>
        <v>663030000</v>
      </c>
      <c r="D186" s="1435">
        <f t="shared" si="103"/>
        <v>522071000</v>
      </c>
      <c r="E186" s="1435">
        <f t="shared" si="103"/>
        <v>140959000</v>
      </c>
      <c r="F186" s="1435">
        <f t="shared" si="103"/>
        <v>663030000</v>
      </c>
      <c r="G186" s="1435">
        <f t="shared" si="103"/>
        <v>0</v>
      </c>
      <c r="H186" s="1435">
        <f t="shared" si="103"/>
        <v>0</v>
      </c>
      <c r="I186" s="1436">
        <f t="shared" si="103"/>
        <v>753482769</v>
      </c>
      <c r="J186" s="1437">
        <f t="shared" si="103"/>
        <v>593595129</v>
      </c>
      <c r="K186" s="1436">
        <f t="shared" si="103"/>
        <v>159887640</v>
      </c>
      <c r="L186" s="1438">
        <f t="shared" si="103"/>
        <v>753482769</v>
      </c>
      <c r="M186" s="1437">
        <f t="shared" si="103"/>
        <v>0</v>
      </c>
      <c r="N186" s="1439">
        <f t="shared" si="103"/>
        <v>0</v>
      </c>
      <c r="O186" s="1440">
        <f t="shared" si="103"/>
        <v>-194822940</v>
      </c>
      <c r="P186" s="1436">
        <f t="shared" si="103"/>
        <v>-194822940</v>
      </c>
      <c r="Q186" s="1437">
        <f t="shared" si="103"/>
        <v>0</v>
      </c>
      <c r="R186" s="1437">
        <f t="shared" si="103"/>
        <v>0</v>
      </c>
      <c r="S186" s="1435">
        <f t="shared" si="103"/>
        <v>522118395</v>
      </c>
      <c r="T186" s="1435">
        <f t="shared" si="103"/>
        <v>411728505</v>
      </c>
      <c r="U186" s="1435">
        <f t="shared" si="103"/>
        <v>110389890</v>
      </c>
      <c r="V186" s="1435">
        <f t="shared" si="103"/>
        <v>522118395</v>
      </c>
      <c r="W186" s="1435">
        <f t="shared" si="103"/>
        <v>0</v>
      </c>
      <c r="X186" s="1435">
        <f t="shared" si="103"/>
        <v>0</v>
      </c>
      <c r="Y186" s="408">
        <f t="shared" ref="Y186:AD186" si="104">Y9+Y32+Y56+Y65+Y83+Y90+Y120+Y102+Y109+Y113+Y129+Y161</f>
        <v>457901411</v>
      </c>
      <c r="Z186" s="1441">
        <f t="shared" si="104"/>
        <v>361163820</v>
      </c>
      <c r="AA186" s="1442">
        <f t="shared" si="104"/>
        <v>96737591</v>
      </c>
      <c r="AB186" s="1438">
        <f t="shared" si="104"/>
        <v>457901411</v>
      </c>
      <c r="AC186" s="1437">
        <f t="shared" si="104"/>
        <v>0</v>
      </c>
      <c r="AD186" s="1439">
        <f t="shared" si="104"/>
        <v>0</v>
      </c>
    </row>
    <row r="187" spans="1:30" ht="12.75" customHeight="1">
      <c r="A187" s="1443"/>
      <c r="B187" s="1444"/>
      <c r="C187" s="1445"/>
      <c r="D187" s="1445"/>
      <c r="E187" s="1445"/>
      <c r="F187" s="1445"/>
      <c r="G187" s="1445"/>
      <c r="H187" s="1445"/>
      <c r="I187" s="1446"/>
      <c r="J187" s="1447"/>
      <c r="K187" s="1448"/>
      <c r="L187" s="1449"/>
      <c r="M187" s="1447"/>
      <c r="N187" s="1448"/>
      <c r="O187" s="1450"/>
      <c r="P187" s="1447"/>
      <c r="Q187" s="1447"/>
      <c r="R187" s="1447"/>
      <c r="S187" s="1451"/>
      <c r="T187" s="1452"/>
      <c r="U187" s="1453"/>
      <c r="V187" s="1454"/>
      <c r="W187" s="1452"/>
      <c r="X187" s="1453"/>
      <c r="Y187" s="1446"/>
      <c r="Z187" s="1447"/>
      <c r="AA187" s="1448"/>
      <c r="AB187" s="1449"/>
      <c r="AC187" s="1447"/>
      <c r="AD187" s="1448"/>
    </row>
    <row r="188" spans="1:30" s="293" customFormat="1" ht="15">
      <c r="A188" s="1328" t="s">
        <v>1047</v>
      </c>
      <c r="B188" s="1455"/>
      <c r="C188" s="1456">
        <f t="shared" ref="C188:AD188" si="105">SUM(C189:C218)</f>
        <v>17945000</v>
      </c>
      <c r="D188" s="1456">
        <f t="shared" si="105"/>
        <v>14130000</v>
      </c>
      <c r="E188" s="1456">
        <f t="shared" si="105"/>
        <v>3815000</v>
      </c>
      <c r="F188" s="1456">
        <f t="shared" si="105"/>
        <v>17945000</v>
      </c>
      <c r="G188" s="1456">
        <f t="shared" si="105"/>
        <v>0</v>
      </c>
      <c r="H188" s="1456">
        <f t="shared" si="105"/>
        <v>0</v>
      </c>
      <c r="I188" s="1342">
        <f t="shared" si="105"/>
        <v>36868000</v>
      </c>
      <c r="J188" s="1335">
        <f t="shared" si="105"/>
        <v>29030000</v>
      </c>
      <c r="K188" s="1333">
        <f t="shared" si="105"/>
        <v>7838000</v>
      </c>
      <c r="L188" s="1334">
        <f t="shared" si="105"/>
        <v>36868000</v>
      </c>
      <c r="M188" s="1335">
        <f t="shared" si="105"/>
        <v>0</v>
      </c>
      <c r="N188" s="1333">
        <f t="shared" si="105"/>
        <v>0</v>
      </c>
      <c r="O188" s="1336">
        <f t="shared" si="105"/>
        <v>0</v>
      </c>
      <c r="P188" s="1337">
        <f t="shared" si="105"/>
        <v>0</v>
      </c>
      <c r="Q188" s="1337">
        <f t="shared" si="105"/>
        <v>0</v>
      </c>
      <c r="R188" s="1337">
        <f t="shared" si="105"/>
        <v>0</v>
      </c>
      <c r="S188" s="1338">
        <f t="shared" si="105"/>
        <v>36868000</v>
      </c>
      <c r="T188" s="1341">
        <f t="shared" si="105"/>
        <v>29030000</v>
      </c>
      <c r="U188" s="1340">
        <f t="shared" si="105"/>
        <v>7838000</v>
      </c>
      <c r="V188" s="1339">
        <f t="shared" si="105"/>
        <v>36868000</v>
      </c>
      <c r="W188" s="1341">
        <f t="shared" si="105"/>
        <v>0</v>
      </c>
      <c r="X188" s="1340">
        <f t="shared" si="105"/>
        <v>0</v>
      </c>
      <c r="Y188" s="1342">
        <f t="shared" si="105"/>
        <v>34714277</v>
      </c>
      <c r="Z188" s="1335">
        <f t="shared" si="105"/>
        <v>27334077</v>
      </c>
      <c r="AA188" s="1333">
        <f t="shared" si="105"/>
        <v>7380200</v>
      </c>
      <c r="AB188" s="1334">
        <f t="shared" si="105"/>
        <v>34714277</v>
      </c>
      <c r="AC188" s="1335">
        <f t="shared" si="105"/>
        <v>0</v>
      </c>
      <c r="AD188" s="1333">
        <f t="shared" si="105"/>
        <v>0</v>
      </c>
    </row>
    <row r="189" spans="1:30" s="293" customFormat="1" ht="15" customHeight="1">
      <c r="A189" s="1457">
        <v>64001</v>
      </c>
      <c r="B189" s="1377" t="s">
        <v>1048</v>
      </c>
      <c r="C189" s="1458">
        <v>8420000</v>
      </c>
      <c r="D189" s="1458">
        <v>6630000</v>
      </c>
      <c r="E189" s="1458">
        <v>1790000</v>
      </c>
      <c r="F189" s="1458">
        <v>8420000</v>
      </c>
      <c r="G189" s="1458"/>
      <c r="H189" s="1458"/>
      <c r="I189" s="1347">
        <f>SUM(L189:N189)</f>
        <v>8420000</v>
      </c>
      <c r="J189" s="451">
        <v>6630000</v>
      </c>
      <c r="K189" s="660">
        <v>1790000</v>
      </c>
      <c r="L189" s="1348">
        <f>5753000+2667000</f>
        <v>8420000</v>
      </c>
      <c r="M189" s="1137"/>
      <c r="N189" s="1347"/>
      <c r="O189" s="1349">
        <f t="shared" ref="O189:O218" si="106">SUM(P189:R189)</f>
        <v>0</v>
      </c>
      <c r="P189" s="1252"/>
      <c r="Q189" s="1252"/>
      <c r="R189" s="1252"/>
      <c r="S189" s="1350">
        <f t="shared" ref="S189:S218" si="107">SUM(V189:X189)</f>
        <v>8420000</v>
      </c>
      <c r="T189" s="451">
        <v>6630000</v>
      </c>
      <c r="U189" s="660">
        <v>1790000</v>
      </c>
      <c r="V189" s="1351">
        <f t="shared" ref="V189:V218" si="108">SUM(L189+P189)</f>
        <v>8420000</v>
      </c>
      <c r="W189" s="451">
        <f t="shared" ref="W189:W218" si="109">SUM(M189+Q189)</f>
        <v>0</v>
      </c>
      <c r="X189" s="660">
        <f t="shared" ref="X189:X218" si="110">SUM(N189+R189)</f>
        <v>0</v>
      </c>
      <c r="Y189" s="1352">
        <f>Z189+AA189</f>
        <v>8273879</v>
      </c>
      <c r="Z189" s="1137">
        <v>6514866</v>
      </c>
      <c r="AA189" s="1347">
        <v>1759013</v>
      </c>
      <c r="AB189" s="1348">
        <v>8273879</v>
      </c>
      <c r="AC189" s="1137"/>
      <c r="AD189" s="1347"/>
    </row>
    <row r="190" spans="1:30" s="293" customFormat="1" ht="15" customHeight="1">
      <c r="A190" s="1457">
        <v>64002</v>
      </c>
      <c r="B190" s="1377" t="s">
        <v>1049</v>
      </c>
      <c r="C190" s="1458">
        <v>8255000</v>
      </c>
      <c r="D190" s="1458">
        <v>6500000</v>
      </c>
      <c r="E190" s="1458">
        <v>1755000</v>
      </c>
      <c r="F190" s="1458">
        <v>8255000</v>
      </c>
      <c r="G190" s="1458"/>
      <c r="H190" s="1458"/>
      <c r="I190" s="1347">
        <f>SUM(L190:N190)</f>
        <v>8255000</v>
      </c>
      <c r="J190" s="1137">
        <f t="shared" ref="J190:J196" si="111">SUM(I190)/1.27</f>
        <v>6500000</v>
      </c>
      <c r="K190" s="1347">
        <f t="shared" ref="K190:K196" si="112">SUM(J190)*0.27</f>
        <v>1755000</v>
      </c>
      <c r="L190" s="1348">
        <v>8255000</v>
      </c>
      <c r="M190" s="1137"/>
      <c r="N190" s="1347"/>
      <c r="O190" s="1349">
        <f t="shared" si="106"/>
        <v>0</v>
      </c>
      <c r="P190" s="1252"/>
      <c r="Q190" s="1252"/>
      <c r="R190" s="1252"/>
      <c r="S190" s="1350">
        <f t="shared" si="107"/>
        <v>8255000</v>
      </c>
      <c r="T190" s="451">
        <f t="shared" ref="T190:T218" si="113">SUM(S190)/1.27</f>
        <v>6500000</v>
      </c>
      <c r="U190" s="660">
        <f t="shared" ref="U190:U218" si="114">SUM(T190)*0.27</f>
        <v>1755000</v>
      </c>
      <c r="V190" s="1351">
        <f t="shared" si="108"/>
        <v>8255000</v>
      </c>
      <c r="W190" s="451">
        <f t="shared" si="109"/>
        <v>0</v>
      </c>
      <c r="X190" s="660">
        <f t="shared" si="110"/>
        <v>0</v>
      </c>
      <c r="Y190" s="1352">
        <f>Z190+AA190</f>
        <v>7518400</v>
      </c>
      <c r="Z190" s="1137">
        <v>5920000</v>
      </c>
      <c r="AA190" s="1347">
        <v>1598400</v>
      </c>
      <c r="AB190" s="1348">
        <v>7518400</v>
      </c>
      <c r="AC190" s="1137"/>
      <c r="AD190" s="1347"/>
    </row>
    <row r="191" spans="1:30" s="293" customFormat="1" ht="15" customHeight="1">
      <c r="A191" s="1457" t="s">
        <v>1050</v>
      </c>
      <c r="B191" s="1459" t="s">
        <v>1051</v>
      </c>
      <c r="C191" s="1458">
        <v>1270000</v>
      </c>
      <c r="D191" s="1458">
        <v>1000000</v>
      </c>
      <c r="E191" s="1458">
        <v>270000</v>
      </c>
      <c r="F191" s="1458">
        <v>1270000</v>
      </c>
      <c r="G191" s="1458"/>
      <c r="H191" s="1458"/>
      <c r="I191" s="1347">
        <f>SUM(L191:N191)</f>
        <v>1270000</v>
      </c>
      <c r="J191" s="1137">
        <f t="shared" si="111"/>
        <v>1000000</v>
      </c>
      <c r="K191" s="1347">
        <f t="shared" si="112"/>
        <v>270000</v>
      </c>
      <c r="L191" s="1348">
        <v>1270000</v>
      </c>
      <c r="M191" s="1137"/>
      <c r="N191" s="1347"/>
      <c r="O191" s="1349">
        <f t="shared" si="106"/>
        <v>0</v>
      </c>
      <c r="P191" s="1252"/>
      <c r="Q191" s="1252"/>
      <c r="R191" s="1252"/>
      <c r="S191" s="1350">
        <f t="shared" si="107"/>
        <v>1270000</v>
      </c>
      <c r="T191" s="451">
        <f t="shared" si="113"/>
        <v>1000000</v>
      </c>
      <c r="U191" s="660">
        <f t="shared" si="114"/>
        <v>270000</v>
      </c>
      <c r="V191" s="1351">
        <f t="shared" si="108"/>
        <v>1270000</v>
      </c>
      <c r="W191" s="451">
        <f t="shared" si="109"/>
        <v>0</v>
      </c>
      <c r="X191" s="660">
        <f t="shared" si="110"/>
        <v>0</v>
      </c>
      <c r="Y191" s="1352">
        <f>Z191+AA191</f>
        <v>0</v>
      </c>
      <c r="Z191" s="1137"/>
      <c r="AA191" s="1347"/>
      <c r="AB191" s="1348"/>
      <c r="AC191" s="1137"/>
      <c r="AD191" s="1347"/>
    </row>
    <row r="192" spans="1:30" s="293" customFormat="1" ht="15.75" customHeight="1">
      <c r="A192" s="1457" t="s">
        <v>1052</v>
      </c>
      <c r="B192" s="1459" t="s">
        <v>1053</v>
      </c>
      <c r="C192" s="1458">
        <v>0</v>
      </c>
      <c r="D192" s="1458">
        <v>0</v>
      </c>
      <c r="E192" s="1458">
        <v>0</v>
      </c>
      <c r="F192" s="1458"/>
      <c r="G192" s="1458"/>
      <c r="H192" s="1458"/>
      <c r="I192" s="1347">
        <f>SUM(L192:N192)</f>
        <v>18923000</v>
      </c>
      <c r="J192" s="1137">
        <f t="shared" si="111"/>
        <v>14900000</v>
      </c>
      <c r="K192" s="1347">
        <f t="shared" si="112"/>
        <v>4023000</v>
      </c>
      <c r="L192" s="1348">
        <v>18923000</v>
      </c>
      <c r="M192" s="1137"/>
      <c r="N192" s="1347"/>
      <c r="O192" s="1349">
        <f t="shared" si="106"/>
        <v>0</v>
      </c>
      <c r="P192" s="1252"/>
      <c r="Q192" s="1252"/>
      <c r="R192" s="1252"/>
      <c r="S192" s="1350">
        <f t="shared" si="107"/>
        <v>18923000</v>
      </c>
      <c r="T192" s="451">
        <f t="shared" si="113"/>
        <v>14900000</v>
      </c>
      <c r="U192" s="660">
        <f t="shared" si="114"/>
        <v>4023000</v>
      </c>
      <c r="V192" s="1351">
        <f t="shared" si="108"/>
        <v>18923000</v>
      </c>
      <c r="W192" s="451">
        <f t="shared" si="109"/>
        <v>0</v>
      </c>
      <c r="X192" s="660">
        <f t="shared" si="110"/>
        <v>0</v>
      </c>
      <c r="Y192" s="1352">
        <f>Z192+AA192</f>
        <v>18921998</v>
      </c>
      <c r="Z192" s="1137">
        <v>14899211</v>
      </c>
      <c r="AA192" s="1347">
        <v>4022787</v>
      </c>
      <c r="AB192" s="1348">
        <v>18921998</v>
      </c>
      <c r="AC192" s="1137"/>
      <c r="AD192" s="1347"/>
    </row>
    <row r="193" spans="1:30" s="293" customFormat="1" ht="14.25" hidden="1" customHeight="1">
      <c r="A193" s="1385"/>
      <c r="B193" s="1459"/>
      <c r="C193" s="1460"/>
      <c r="D193" s="1460"/>
      <c r="E193" s="1460"/>
      <c r="F193" s="1460"/>
      <c r="G193" s="1460"/>
      <c r="H193" s="1460"/>
      <c r="I193" s="1352">
        <f>SUM(L193:P193)</f>
        <v>0</v>
      </c>
      <c r="J193" s="1137">
        <f t="shared" si="111"/>
        <v>0</v>
      </c>
      <c r="K193" s="1347">
        <f t="shared" si="112"/>
        <v>0</v>
      </c>
      <c r="L193" s="1348"/>
      <c r="M193" s="1137"/>
      <c r="N193" s="1347"/>
      <c r="O193" s="1349">
        <f t="shared" si="106"/>
        <v>0</v>
      </c>
      <c r="P193" s="1252"/>
      <c r="Q193" s="1252"/>
      <c r="R193" s="1252"/>
      <c r="S193" s="1350">
        <f t="shared" si="107"/>
        <v>0</v>
      </c>
      <c r="T193" s="451">
        <f t="shared" si="113"/>
        <v>0</v>
      </c>
      <c r="U193" s="660">
        <f t="shared" si="114"/>
        <v>0</v>
      </c>
      <c r="V193" s="1351">
        <f t="shared" si="108"/>
        <v>0</v>
      </c>
      <c r="W193" s="451">
        <f t="shared" si="109"/>
        <v>0</v>
      </c>
      <c r="X193" s="660">
        <f t="shared" si="110"/>
        <v>0</v>
      </c>
      <c r="Y193" s="1352"/>
      <c r="Z193" s="1137"/>
      <c r="AA193" s="1347"/>
      <c r="AB193" s="1348"/>
      <c r="AC193" s="1137"/>
      <c r="AD193" s="1347"/>
    </row>
    <row r="194" spans="1:30" s="293" customFormat="1" ht="15.75" hidden="1" customHeight="1">
      <c r="A194" s="1385"/>
      <c r="B194" s="1459"/>
      <c r="C194" s="1460"/>
      <c r="D194" s="1460"/>
      <c r="E194" s="1460"/>
      <c r="F194" s="1460"/>
      <c r="G194" s="1460"/>
      <c r="H194" s="1460"/>
      <c r="I194" s="1352">
        <f>SUM(L194:P194)</f>
        <v>0</v>
      </c>
      <c r="J194" s="1137">
        <f t="shared" si="111"/>
        <v>0</v>
      </c>
      <c r="K194" s="1347">
        <f t="shared" si="112"/>
        <v>0</v>
      </c>
      <c r="L194" s="1348"/>
      <c r="M194" s="1137"/>
      <c r="N194" s="1347"/>
      <c r="O194" s="1349">
        <f t="shared" si="106"/>
        <v>0</v>
      </c>
      <c r="P194" s="1252"/>
      <c r="Q194" s="1252"/>
      <c r="R194" s="1252"/>
      <c r="S194" s="1350">
        <f t="shared" si="107"/>
        <v>0</v>
      </c>
      <c r="T194" s="451">
        <f t="shared" si="113"/>
        <v>0</v>
      </c>
      <c r="U194" s="660">
        <f t="shared" si="114"/>
        <v>0</v>
      </c>
      <c r="V194" s="1351">
        <f t="shared" si="108"/>
        <v>0</v>
      </c>
      <c r="W194" s="451">
        <f t="shared" si="109"/>
        <v>0</v>
      </c>
      <c r="X194" s="660">
        <f t="shared" si="110"/>
        <v>0</v>
      </c>
      <c r="Y194" s="1352"/>
      <c r="Z194" s="1137"/>
      <c r="AA194" s="1347"/>
      <c r="AB194" s="1348"/>
      <c r="AC194" s="1137"/>
      <c r="AD194" s="1347"/>
    </row>
    <row r="195" spans="1:30" s="293" customFormat="1" ht="15" hidden="1" customHeight="1">
      <c r="A195" s="1385"/>
      <c r="B195" s="1459"/>
      <c r="C195" s="1460"/>
      <c r="D195" s="1460"/>
      <c r="E195" s="1460"/>
      <c r="F195" s="1460"/>
      <c r="G195" s="1460"/>
      <c r="H195" s="1460"/>
      <c r="I195" s="1352">
        <f>SUM(L195:P195)</f>
        <v>0</v>
      </c>
      <c r="J195" s="1137">
        <f t="shared" si="111"/>
        <v>0</v>
      </c>
      <c r="K195" s="1347">
        <f t="shared" si="112"/>
        <v>0</v>
      </c>
      <c r="L195" s="1348"/>
      <c r="M195" s="1137"/>
      <c r="N195" s="1347"/>
      <c r="O195" s="1349">
        <f t="shared" si="106"/>
        <v>0</v>
      </c>
      <c r="P195" s="1252"/>
      <c r="Q195" s="1252"/>
      <c r="R195" s="1252"/>
      <c r="S195" s="1350">
        <f t="shared" si="107"/>
        <v>0</v>
      </c>
      <c r="T195" s="451">
        <f t="shared" si="113"/>
        <v>0</v>
      </c>
      <c r="U195" s="660">
        <f t="shared" si="114"/>
        <v>0</v>
      </c>
      <c r="V195" s="1351">
        <f t="shared" si="108"/>
        <v>0</v>
      </c>
      <c r="W195" s="451">
        <f t="shared" si="109"/>
        <v>0</v>
      </c>
      <c r="X195" s="660">
        <f t="shared" si="110"/>
        <v>0</v>
      </c>
      <c r="Y195" s="1352"/>
      <c r="Z195" s="1137"/>
      <c r="AA195" s="1347"/>
      <c r="AB195" s="1348"/>
      <c r="AC195" s="1137"/>
      <c r="AD195" s="1347"/>
    </row>
    <row r="196" spans="1:30" s="293" customFormat="1" ht="17.25" hidden="1" customHeight="1">
      <c r="A196" s="1385"/>
      <c r="B196" s="1459"/>
      <c r="C196" s="1460"/>
      <c r="D196" s="1460"/>
      <c r="E196" s="1460"/>
      <c r="F196" s="1460"/>
      <c r="G196" s="1460"/>
      <c r="H196" s="1460"/>
      <c r="I196" s="1352">
        <f>SUM(L196:P196)</f>
        <v>0</v>
      </c>
      <c r="J196" s="1137">
        <f t="shared" si="111"/>
        <v>0</v>
      </c>
      <c r="K196" s="1347">
        <f t="shared" si="112"/>
        <v>0</v>
      </c>
      <c r="L196" s="1348"/>
      <c r="M196" s="1137"/>
      <c r="N196" s="1347"/>
      <c r="O196" s="1349">
        <f t="shared" si="106"/>
        <v>0</v>
      </c>
      <c r="P196" s="1252"/>
      <c r="Q196" s="1252"/>
      <c r="R196" s="1252"/>
      <c r="S196" s="1350">
        <f t="shared" si="107"/>
        <v>0</v>
      </c>
      <c r="T196" s="451">
        <f t="shared" si="113"/>
        <v>0</v>
      </c>
      <c r="U196" s="660">
        <f t="shared" si="114"/>
        <v>0</v>
      </c>
      <c r="V196" s="1351">
        <f t="shared" si="108"/>
        <v>0</v>
      </c>
      <c r="W196" s="451">
        <f t="shared" si="109"/>
        <v>0</v>
      </c>
      <c r="X196" s="660">
        <f t="shared" si="110"/>
        <v>0</v>
      </c>
      <c r="Y196" s="1352"/>
      <c r="Z196" s="1137"/>
      <c r="AA196" s="1347"/>
      <c r="AB196" s="1348"/>
      <c r="AC196" s="1137"/>
      <c r="AD196" s="1347"/>
    </row>
    <row r="197" spans="1:30" s="293" customFormat="1" ht="14.25" hidden="1" customHeight="1">
      <c r="A197" s="1385"/>
      <c r="B197" s="1459"/>
      <c r="C197" s="1460"/>
      <c r="D197" s="1460"/>
      <c r="E197" s="1460"/>
      <c r="F197" s="1460"/>
      <c r="G197" s="1460"/>
      <c r="H197" s="1460"/>
      <c r="I197" s="1352">
        <f t="shared" ref="I197:I218" si="115">SUM(L197:O197)</f>
        <v>0</v>
      </c>
      <c r="J197" s="1137">
        <f t="shared" ref="J197:J218" si="116">SUM(I197)/1.25</f>
        <v>0</v>
      </c>
      <c r="K197" s="1347">
        <f t="shared" ref="K197:K218" si="117">SUM(J197)*0.25</f>
        <v>0</v>
      </c>
      <c r="L197" s="1137"/>
      <c r="M197" s="1137"/>
      <c r="N197" s="1347"/>
      <c r="O197" s="1349">
        <f t="shared" si="106"/>
        <v>0</v>
      </c>
      <c r="P197" s="1252"/>
      <c r="Q197" s="1252"/>
      <c r="R197" s="1252"/>
      <c r="S197" s="1350">
        <f t="shared" si="107"/>
        <v>0</v>
      </c>
      <c r="T197" s="451">
        <f t="shared" si="113"/>
        <v>0</v>
      </c>
      <c r="U197" s="660">
        <f t="shared" si="114"/>
        <v>0</v>
      </c>
      <c r="V197" s="1351">
        <f t="shared" si="108"/>
        <v>0</v>
      </c>
      <c r="W197" s="451">
        <f t="shared" si="109"/>
        <v>0</v>
      </c>
      <c r="X197" s="660">
        <f t="shared" si="110"/>
        <v>0</v>
      </c>
      <c r="Y197" s="1352"/>
      <c r="Z197" s="1137"/>
      <c r="AA197" s="1347"/>
      <c r="AB197" s="1348"/>
      <c r="AC197" s="1137"/>
      <c r="AD197" s="1347"/>
    </row>
    <row r="198" spans="1:30" s="293" customFormat="1" ht="14.25" hidden="1" customHeight="1">
      <c r="A198" s="1385"/>
      <c r="B198" s="1459"/>
      <c r="C198" s="1460"/>
      <c r="D198" s="1460"/>
      <c r="E198" s="1460"/>
      <c r="F198" s="1460"/>
      <c r="G198" s="1460"/>
      <c r="H198" s="1460"/>
      <c r="I198" s="1352">
        <f t="shared" si="115"/>
        <v>0</v>
      </c>
      <c r="J198" s="1137">
        <f t="shared" si="116"/>
        <v>0</v>
      </c>
      <c r="K198" s="1347">
        <f t="shared" si="117"/>
        <v>0</v>
      </c>
      <c r="L198" s="1137"/>
      <c r="M198" s="1137"/>
      <c r="N198" s="1347"/>
      <c r="O198" s="1349">
        <f t="shared" si="106"/>
        <v>0</v>
      </c>
      <c r="P198" s="1252"/>
      <c r="Q198" s="1252"/>
      <c r="R198" s="1252"/>
      <c r="S198" s="1350">
        <f t="shared" si="107"/>
        <v>0</v>
      </c>
      <c r="T198" s="451">
        <f t="shared" si="113"/>
        <v>0</v>
      </c>
      <c r="U198" s="660">
        <f t="shared" si="114"/>
        <v>0</v>
      </c>
      <c r="V198" s="1351">
        <f t="shared" si="108"/>
        <v>0</v>
      </c>
      <c r="W198" s="451">
        <f t="shared" si="109"/>
        <v>0</v>
      </c>
      <c r="X198" s="660">
        <f t="shared" si="110"/>
        <v>0</v>
      </c>
      <c r="Y198" s="1352"/>
      <c r="Z198" s="1137"/>
      <c r="AA198" s="1347"/>
      <c r="AB198" s="1348"/>
      <c r="AC198" s="1137"/>
      <c r="AD198" s="1347"/>
    </row>
    <row r="199" spans="1:30" s="293" customFormat="1" ht="14.25" hidden="1" customHeight="1">
      <c r="A199" s="1385"/>
      <c r="B199" s="1459"/>
      <c r="C199" s="1460"/>
      <c r="D199" s="1460"/>
      <c r="E199" s="1460"/>
      <c r="F199" s="1460"/>
      <c r="G199" s="1460"/>
      <c r="H199" s="1460"/>
      <c r="I199" s="1352">
        <f t="shared" si="115"/>
        <v>0</v>
      </c>
      <c r="J199" s="1137">
        <f t="shared" si="116"/>
        <v>0</v>
      </c>
      <c r="K199" s="1347">
        <f t="shared" si="117"/>
        <v>0</v>
      </c>
      <c r="L199" s="1137"/>
      <c r="M199" s="1137"/>
      <c r="N199" s="1347"/>
      <c r="O199" s="1349">
        <f t="shared" si="106"/>
        <v>0</v>
      </c>
      <c r="P199" s="1252"/>
      <c r="Q199" s="1252"/>
      <c r="R199" s="1252"/>
      <c r="S199" s="1350">
        <f t="shared" si="107"/>
        <v>0</v>
      </c>
      <c r="T199" s="451">
        <f t="shared" si="113"/>
        <v>0</v>
      </c>
      <c r="U199" s="660">
        <f t="shared" si="114"/>
        <v>0</v>
      </c>
      <c r="V199" s="1351">
        <f t="shared" si="108"/>
        <v>0</v>
      </c>
      <c r="W199" s="451">
        <f t="shared" si="109"/>
        <v>0</v>
      </c>
      <c r="X199" s="660">
        <f t="shared" si="110"/>
        <v>0</v>
      </c>
      <c r="Y199" s="1352"/>
      <c r="Z199" s="1137"/>
      <c r="AA199" s="1347"/>
      <c r="AB199" s="1348"/>
      <c r="AC199" s="1137"/>
      <c r="AD199" s="1347"/>
    </row>
    <row r="200" spans="1:30" s="293" customFormat="1" ht="14.25" hidden="1" customHeight="1">
      <c r="A200" s="1385"/>
      <c r="B200" s="1459"/>
      <c r="C200" s="1460"/>
      <c r="D200" s="1460"/>
      <c r="E200" s="1460"/>
      <c r="F200" s="1460"/>
      <c r="G200" s="1460"/>
      <c r="H200" s="1460"/>
      <c r="I200" s="1352">
        <f t="shared" si="115"/>
        <v>0</v>
      </c>
      <c r="J200" s="1137">
        <f t="shared" si="116"/>
        <v>0</v>
      </c>
      <c r="K200" s="1347">
        <f t="shared" si="117"/>
        <v>0</v>
      </c>
      <c r="L200" s="1137"/>
      <c r="M200" s="1137"/>
      <c r="N200" s="1347"/>
      <c r="O200" s="1349">
        <f t="shared" si="106"/>
        <v>0</v>
      </c>
      <c r="P200" s="1252"/>
      <c r="Q200" s="1252"/>
      <c r="R200" s="1252"/>
      <c r="S200" s="1350">
        <f t="shared" si="107"/>
        <v>0</v>
      </c>
      <c r="T200" s="451">
        <f t="shared" si="113"/>
        <v>0</v>
      </c>
      <c r="U200" s="660">
        <f t="shared" si="114"/>
        <v>0</v>
      </c>
      <c r="V200" s="1351">
        <f t="shared" si="108"/>
        <v>0</v>
      </c>
      <c r="W200" s="451">
        <f t="shared" si="109"/>
        <v>0</v>
      </c>
      <c r="X200" s="660">
        <f t="shared" si="110"/>
        <v>0</v>
      </c>
      <c r="Y200" s="1352"/>
      <c r="Z200" s="1137"/>
      <c r="AA200" s="1347"/>
      <c r="AB200" s="1348"/>
      <c r="AC200" s="1137"/>
      <c r="AD200" s="1347"/>
    </row>
    <row r="201" spans="1:30" s="293" customFormat="1" ht="14.25" hidden="1" customHeight="1">
      <c r="A201" s="1385"/>
      <c r="B201" s="1459"/>
      <c r="C201" s="1460"/>
      <c r="D201" s="1460"/>
      <c r="E201" s="1460"/>
      <c r="F201" s="1460"/>
      <c r="G201" s="1460"/>
      <c r="H201" s="1460"/>
      <c r="I201" s="1352">
        <f t="shared" si="115"/>
        <v>0</v>
      </c>
      <c r="J201" s="1137">
        <f t="shared" si="116"/>
        <v>0</v>
      </c>
      <c r="K201" s="1347">
        <f t="shared" si="117"/>
        <v>0</v>
      </c>
      <c r="L201" s="1137"/>
      <c r="M201" s="1137"/>
      <c r="N201" s="1347"/>
      <c r="O201" s="1349">
        <f t="shared" si="106"/>
        <v>0</v>
      </c>
      <c r="P201" s="1252"/>
      <c r="Q201" s="1252"/>
      <c r="R201" s="1252"/>
      <c r="S201" s="1350">
        <f t="shared" si="107"/>
        <v>0</v>
      </c>
      <c r="T201" s="451">
        <f t="shared" si="113"/>
        <v>0</v>
      </c>
      <c r="U201" s="660">
        <f t="shared" si="114"/>
        <v>0</v>
      </c>
      <c r="V201" s="1351">
        <f t="shared" si="108"/>
        <v>0</v>
      </c>
      <c r="W201" s="451">
        <f t="shared" si="109"/>
        <v>0</v>
      </c>
      <c r="X201" s="660">
        <f t="shared" si="110"/>
        <v>0</v>
      </c>
      <c r="Y201" s="1352"/>
      <c r="Z201" s="1137"/>
      <c r="AA201" s="1347"/>
      <c r="AB201" s="1348"/>
      <c r="AC201" s="1137"/>
      <c r="AD201" s="1347"/>
    </row>
    <row r="202" spans="1:30" s="293" customFormat="1" ht="14.25" hidden="1" customHeight="1">
      <c r="A202" s="1385"/>
      <c r="B202" s="1459"/>
      <c r="C202" s="1460"/>
      <c r="D202" s="1460"/>
      <c r="E202" s="1460"/>
      <c r="F202" s="1460"/>
      <c r="G202" s="1460"/>
      <c r="H202" s="1460"/>
      <c r="I202" s="1352">
        <f t="shared" si="115"/>
        <v>0</v>
      </c>
      <c r="J202" s="1137">
        <f t="shared" si="116"/>
        <v>0</v>
      </c>
      <c r="K202" s="1347">
        <f t="shared" si="117"/>
        <v>0</v>
      </c>
      <c r="L202" s="1137"/>
      <c r="M202" s="1137"/>
      <c r="N202" s="1347"/>
      <c r="O202" s="1349">
        <f t="shared" si="106"/>
        <v>0</v>
      </c>
      <c r="P202" s="1252"/>
      <c r="Q202" s="1252"/>
      <c r="R202" s="1252"/>
      <c r="S202" s="1350">
        <f t="shared" si="107"/>
        <v>0</v>
      </c>
      <c r="T202" s="451">
        <f t="shared" si="113"/>
        <v>0</v>
      </c>
      <c r="U202" s="660">
        <f t="shared" si="114"/>
        <v>0</v>
      </c>
      <c r="V202" s="1351">
        <f t="shared" si="108"/>
        <v>0</v>
      </c>
      <c r="W202" s="451">
        <f t="shared" si="109"/>
        <v>0</v>
      </c>
      <c r="X202" s="660">
        <f t="shared" si="110"/>
        <v>0</v>
      </c>
      <c r="Y202" s="1352"/>
      <c r="Z202" s="1137"/>
      <c r="AA202" s="1347"/>
      <c r="AB202" s="1348"/>
      <c r="AC202" s="1137"/>
      <c r="AD202" s="1347"/>
    </row>
    <row r="203" spans="1:30" s="293" customFormat="1" ht="14.25" hidden="1" customHeight="1">
      <c r="A203" s="1385"/>
      <c r="B203" s="1459"/>
      <c r="C203" s="1460"/>
      <c r="D203" s="1460"/>
      <c r="E203" s="1460"/>
      <c r="F203" s="1460"/>
      <c r="G203" s="1460"/>
      <c r="H203" s="1460"/>
      <c r="I203" s="1352">
        <f t="shared" si="115"/>
        <v>0</v>
      </c>
      <c r="J203" s="1137">
        <f t="shared" si="116"/>
        <v>0</v>
      </c>
      <c r="K203" s="1347">
        <f t="shared" si="117"/>
        <v>0</v>
      </c>
      <c r="L203" s="1137"/>
      <c r="M203" s="1137"/>
      <c r="N203" s="1347"/>
      <c r="O203" s="1349">
        <f t="shared" si="106"/>
        <v>0</v>
      </c>
      <c r="P203" s="1252"/>
      <c r="Q203" s="1252"/>
      <c r="R203" s="1252"/>
      <c r="S203" s="1350">
        <f t="shared" si="107"/>
        <v>0</v>
      </c>
      <c r="T203" s="451">
        <f t="shared" si="113"/>
        <v>0</v>
      </c>
      <c r="U203" s="660">
        <f t="shared" si="114"/>
        <v>0</v>
      </c>
      <c r="V203" s="1351">
        <f t="shared" si="108"/>
        <v>0</v>
      </c>
      <c r="W203" s="451">
        <f t="shared" si="109"/>
        <v>0</v>
      </c>
      <c r="X203" s="660">
        <f t="shared" si="110"/>
        <v>0</v>
      </c>
      <c r="Y203" s="1352"/>
      <c r="Z203" s="1137"/>
      <c r="AA203" s="1347"/>
      <c r="AB203" s="1348"/>
      <c r="AC203" s="1137"/>
      <c r="AD203" s="1347"/>
    </row>
    <row r="204" spans="1:30" s="293" customFormat="1" ht="14.25" hidden="1" customHeight="1">
      <c r="A204" s="1385"/>
      <c r="B204" s="1307"/>
      <c r="C204" s="1310"/>
      <c r="D204" s="1310"/>
      <c r="E204" s="1310"/>
      <c r="F204" s="1310"/>
      <c r="G204" s="1310"/>
      <c r="H204" s="1310"/>
      <c r="I204" s="1352">
        <f t="shared" si="115"/>
        <v>0</v>
      </c>
      <c r="J204" s="1137">
        <f t="shared" si="116"/>
        <v>0</v>
      </c>
      <c r="K204" s="1347">
        <f t="shared" si="117"/>
        <v>0</v>
      </c>
      <c r="L204" s="1137"/>
      <c r="M204" s="1137"/>
      <c r="N204" s="1347"/>
      <c r="O204" s="1349">
        <f t="shared" si="106"/>
        <v>0</v>
      </c>
      <c r="P204" s="1252"/>
      <c r="Q204" s="1252"/>
      <c r="R204" s="1252"/>
      <c r="S204" s="1350">
        <f t="shared" si="107"/>
        <v>0</v>
      </c>
      <c r="T204" s="451">
        <f t="shared" si="113"/>
        <v>0</v>
      </c>
      <c r="U204" s="660">
        <f t="shared" si="114"/>
        <v>0</v>
      </c>
      <c r="V204" s="1351">
        <f t="shared" si="108"/>
        <v>0</v>
      </c>
      <c r="W204" s="451">
        <f t="shared" si="109"/>
        <v>0</v>
      </c>
      <c r="X204" s="660">
        <f t="shared" si="110"/>
        <v>0</v>
      </c>
      <c r="Y204" s="1352"/>
      <c r="Z204" s="1137"/>
      <c r="AA204" s="1347"/>
      <c r="AB204" s="1348"/>
      <c r="AC204" s="1137"/>
      <c r="AD204" s="1347"/>
    </row>
    <row r="205" spans="1:30" s="293" customFormat="1" ht="14.25" hidden="1" customHeight="1">
      <c r="A205" s="1385"/>
      <c r="B205" s="1377"/>
      <c r="C205" s="1379"/>
      <c r="D205" s="1379"/>
      <c r="E205" s="1379"/>
      <c r="F205" s="1379"/>
      <c r="G205" s="1379"/>
      <c r="H205" s="1379"/>
      <c r="I205" s="1352">
        <f t="shared" si="115"/>
        <v>0</v>
      </c>
      <c r="J205" s="1137">
        <f t="shared" si="116"/>
        <v>0</v>
      </c>
      <c r="K205" s="1347">
        <f t="shared" si="117"/>
        <v>0</v>
      </c>
      <c r="L205" s="1137"/>
      <c r="M205" s="1137"/>
      <c r="N205" s="1347"/>
      <c r="O205" s="1349">
        <f t="shared" si="106"/>
        <v>0</v>
      </c>
      <c r="P205" s="1252"/>
      <c r="Q205" s="1252"/>
      <c r="R205" s="1252"/>
      <c r="S205" s="1350">
        <f t="shared" si="107"/>
        <v>0</v>
      </c>
      <c r="T205" s="451">
        <f t="shared" si="113"/>
        <v>0</v>
      </c>
      <c r="U205" s="660">
        <f t="shared" si="114"/>
        <v>0</v>
      </c>
      <c r="V205" s="1351">
        <f t="shared" si="108"/>
        <v>0</v>
      </c>
      <c r="W205" s="451">
        <f t="shared" si="109"/>
        <v>0</v>
      </c>
      <c r="X205" s="660">
        <f t="shared" si="110"/>
        <v>0</v>
      </c>
      <c r="Y205" s="1352"/>
      <c r="Z205" s="1137"/>
      <c r="AA205" s="1347"/>
      <c r="AB205" s="1348"/>
      <c r="AC205" s="1137"/>
      <c r="AD205" s="1347"/>
    </row>
    <row r="206" spans="1:30" s="293" customFormat="1" ht="14.25" hidden="1" customHeight="1">
      <c r="A206" s="1385"/>
      <c r="B206" s="1377"/>
      <c r="C206" s="1379"/>
      <c r="D206" s="1379"/>
      <c r="E206" s="1379"/>
      <c r="F206" s="1379"/>
      <c r="G206" s="1379"/>
      <c r="H206" s="1379"/>
      <c r="I206" s="1352">
        <f t="shared" si="115"/>
        <v>0</v>
      </c>
      <c r="J206" s="1137">
        <f t="shared" si="116"/>
        <v>0</v>
      </c>
      <c r="K206" s="1347">
        <f t="shared" si="117"/>
        <v>0</v>
      </c>
      <c r="L206" s="1137"/>
      <c r="M206" s="1137"/>
      <c r="N206" s="1347"/>
      <c r="O206" s="1349">
        <f t="shared" si="106"/>
        <v>0</v>
      </c>
      <c r="P206" s="1252"/>
      <c r="Q206" s="1252"/>
      <c r="R206" s="1252"/>
      <c r="S206" s="1350">
        <f t="shared" si="107"/>
        <v>0</v>
      </c>
      <c r="T206" s="451">
        <f t="shared" si="113"/>
        <v>0</v>
      </c>
      <c r="U206" s="660">
        <f t="shared" si="114"/>
        <v>0</v>
      </c>
      <c r="V206" s="1351">
        <f t="shared" si="108"/>
        <v>0</v>
      </c>
      <c r="W206" s="451">
        <f t="shared" si="109"/>
        <v>0</v>
      </c>
      <c r="X206" s="660">
        <f t="shared" si="110"/>
        <v>0</v>
      </c>
      <c r="Y206" s="1352"/>
      <c r="Z206" s="1137"/>
      <c r="AA206" s="1347"/>
      <c r="AB206" s="1348"/>
      <c r="AC206" s="1137"/>
      <c r="AD206" s="1347"/>
    </row>
    <row r="207" spans="1:30" s="293" customFormat="1" ht="14.25" hidden="1" customHeight="1">
      <c r="A207" s="1385"/>
      <c r="B207" s="1377"/>
      <c r="C207" s="1379"/>
      <c r="D207" s="1379"/>
      <c r="E207" s="1379"/>
      <c r="F207" s="1379"/>
      <c r="G207" s="1379"/>
      <c r="H207" s="1379"/>
      <c r="I207" s="1352">
        <f t="shared" si="115"/>
        <v>0</v>
      </c>
      <c r="J207" s="1137">
        <f t="shared" si="116"/>
        <v>0</v>
      </c>
      <c r="K207" s="1347">
        <f t="shared" si="117"/>
        <v>0</v>
      </c>
      <c r="L207" s="1137"/>
      <c r="M207" s="1137"/>
      <c r="N207" s="1347"/>
      <c r="O207" s="1349">
        <f t="shared" si="106"/>
        <v>0</v>
      </c>
      <c r="P207" s="1252"/>
      <c r="Q207" s="1252"/>
      <c r="R207" s="1252"/>
      <c r="S207" s="1350">
        <f t="shared" si="107"/>
        <v>0</v>
      </c>
      <c r="T207" s="451">
        <f t="shared" si="113"/>
        <v>0</v>
      </c>
      <c r="U207" s="660">
        <f t="shared" si="114"/>
        <v>0</v>
      </c>
      <c r="V207" s="1351">
        <f t="shared" si="108"/>
        <v>0</v>
      </c>
      <c r="W207" s="451">
        <f t="shared" si="109"/>
        <v>0</v>
      </c>
      <c r="X207" s="660">
        <f t="shared" si="110"/>
        <v>0</v>
      </c>
      <c r="Y207" s="1352"/>
      <c r="Z207" s="1137"/>
      <c r="AA207" s="1347"/>
      <c r="AB207" s="1348"/>
      <c r="AC207" s="1137"/>
      <c r="AD207" s="1347"/>
    </row>
    <row r="208" spans="1:30" s="293" customFormat="1" ht="14.25" hidden="1" customHeight="1">
      <c r="A208" s="1385"/>
      <c r="B208" s="1377"/>
      <c r="C208" s="1379"/>
      <c r="D208" s="1379"/>
      <c r="E208" s="1379"/>
      <c r="F208" s="1379"/>
      <c r="G208" s="1379"/>
      <c r="H208" s="1379"/>
      <c r="I208" s="1352">
        <f t="shared" si="115"/>
        <v>0</v>
      </c>
      <c r="J208" s="1137">
        <f t="shared" si="116"/>
        <v>0</v>
      </c>
      <c r="K208" s="1347">
        <f t="shared" si="117"/>
        <v>0</v>
      </c>
      <c r="L208" s="1137"/>
      <c r="M208" s="1137"/>
      <c r="N208" s="1347"/>
      <c r="O208" s="1349">
        <f t="shared" si="106"/>
        <v>0</v>
      </c>
      <c r="P208" s="1252"/>
      <c r="Q208" s="1252"/>
      <c r="R208" s="1252"/>
      <c r="S208" s="1350">
        <f t="shared" si="107"/>
        <v>0</v>
      </c>
      <c r="T208" s="451">
        <f t="shared" si="113"/>
        <v>0</v>
      </c>
      <c r="U208" s="660">
        <f t="shared" si="114"/>
        <v>0</v>
      </c>
      <c r="V208" s="1351">
        <f t="shared" si="108"/>
        <v>0</v>
      </c>
      <c r="W208" s="451">
        <f t="shared" si="109"/>
        <v>0</v>
      </c>
      <c r="X208" s="660">
        <f t="shared" si="110"/>
        <v>0</v>
      </c>
      <c r="Y208" s="1352"/>
      <c r="Z208" s="1137"/>
      <c r="AA208" s="1347"/>
      <c r="AB208" s="1348"/>
      <c r="AC208" s="1137"/>
      <c r="AD208" s="1347"/>
    </row>
    <row r="209" spans="1:30" s="293" customFormat="1" ht="14.25" hidden="1" customHeight="1">
      <c r="A209" s="1385"/>
      <c r="B209" s="1377"/>
      <c r="C209" s="1379"/>
      <c r="D209" s="1379"/>
      <c r="E209" s="1379"/>
      <c r="F209" s="1379"/>
      <c r="G209" s="1379"/>
      <c r="H209" s="1379"/>
      <c r="I209" s="1352">
        <f t="shared" si="115"/>
        <v>0</v>
      </c>
      <c r="J209" s="1137">
        <f t="shared" si="116"/>
        <v>0</v>
      </c>
      <c r="K209" s="1347">
        <f t="shared" si="117"/>
        <v>0</v>
      </c>
      <c r="L209" s="1137"/>
      <c r="M209" s="1137"/>
      <c r="N209" s="1347"/>
      <c r="O209" s="1349">
        <f t="shared" si="106"/>
        <v>0</v>
      </c>
      <c r="P209" s="1252"/>
      <c r="Q209" s="1252"/>
      <c r="R209" s="1252"/>
      <c r="S209" s="1350">
        <f t="shared" si="107"/>
        <v>0</v>
      </c>
      <c r="T209" s="451">
        <f t="shared" si="113"/>
        <v>0</v>
      </c>
      <c r="U209" s="660">
        <f t="shared" si="114"/>
        <v>0</v>
      </c>
      <c r="V209" s="1351">
        <f t="shared" si="108"/>
        <v>0</v>
      </c>
      <c r="W209" s="451">
        <f t="shared" si="109"/>
        <v>0</v>
      </c>
      <c r="X209" s="660">
        <f t="shared" si="110"/>
        <v>0</v>
      </c>
      <c r="Y209" s="1352"/>
      <c r="Z209" s="1137"/>
      <c r="AA209" s="1347"/>
      <c r="AB209" s="1348"/>
      <c r="AC209" s="1137"/>
      <c r="AD209" s="1347"/>
    </row>
    <row r="210" spans="1:30" s="293" customFormat="1" ht="14.25" hidden="1" customHeight="1">
      <c r="A210" s="1385"/>
      <c r="B210" s="1377"/>
      <c r="C210" s="1379"/>
      <c r="D210" s="1379"/>
      <c r="E210" s="1379"/>
      <c r="F210" s="1379"/>
      <c r="G210" s="1379"/>
      <c r="H210" s="1379"/>
      <c r="I210" s="1352">
        <f t="shared" si="115"/>
        <v>0</v>
      </c>
      <c r="J210" s="1137">
        <f t="shared" si="116"/>
        <v>0</v>
      </c>
      <c r="K210" s="1347">
        <f t="shared" si="117"/>
        <v>0</v>
      </c>
      <c r="L210" s="1137"/>
      <c r="M210" s="1137"/>
      <c r="N210" s="1347"/>
      <c r="O210" s="1349">
        <f t="shared" si="106"/>
        <v>0</v>
      </c>
      <c r="P210" s="1252"/>
      <c r="Q210" s="1252"/>
      <c r="R210" s="1252"/>
      <c r="S210" s="1350">
        <f t="shared" si="107"/>
        <v>0</v>
      </c>
      <c r="T210" s="451">
        <f t="shared" si="113"/>
        <v>0</v>
      </c>
      <c r="U210" s="660">
        <f t="shared" si="114"/>
        <v>0</v>
      </c>
      <c r="V210" s="1351">
        <f t="shared" si="108"/>
        <v>0</v>
      </c>
      <c r="W210" s="451">
        <f t="shared" si="109"/>
        <v>0</v>
      </c>
      <c r="X210" s="660">
        <f t="shared" si="110"/>
        <v>0</v>
      </c>
      <c r="Y210" s="1352"/>
      <c r="Z210" s="1137"/>
      <c r="AA210" s="1347"/>
      <c r="AB210" s="1348"/>
      <c r="AC210" s="1137"/>
      <c r="AD210" s="1347"/>
    </row>
    <row r="211" spans="1:30" s="293" customFormat="1" ht="14.25" hidden="1" customHeight="1">
      <c r="A211" s="1385"/>
      <c r="B211" s="1377"/>
      <c r="C211" s="1379"/>
      <c r="D211" s="1379"/>
      <c r="E211" s="1379"/>
      <c r="F211" s="1379"/>
      <c r="G211" s="1379"/>
      <c r="H211" s="1379"/>
      <c r="I211" s="1352">
        <f t="shared" si="115"/>
        <v>0</v>
      </c>
      <c r="J211" s="1137">
        <f t="shared" si="116"/>
        <v>0</v>
      </c>
      <c r="K211" s="1347">
        <f t="shared" si="117"/>
        <v>0</v>
      </c>
      <c r="L211" s="1137"/>
      <c r="M211" s="1137"/>
      <c r="N211" s="1347"/>
      <c r="O211" s="1349">
        <f t="shared" si="106"/>
        <v>0</v>
      </c>
      <c r="P211" s="1252"/>
      <c r="Q211" s="1252"/>
      <c r="R211" s="1252"/>
      <c r="S211" s="1350">
        <f t="shared" si="107"/>
        <v>0</v>
      </c>
      <c r="T211" s="451">
        <f t="shared" si="113"/>
        <v>0</v>
      </c>
      <c r="U211" s="660">
        <f t="shared" si="114"/>
        <v>0</v>
      </c>
      <c r="V211" s="1351">
        <f t="shared" si="108"/>
        <v>0</v>
      </c>
      <c r="W211" s="451">
        <f t="shared" si="109"/>
        <v>0</v>
      </c>
      <c r="X211" s="660">
        <f t="shared" si="110"/>
        <v>0</v>
      </c>
      <c r="Y211" s="1352"/>
      <c r="Z211" s="1137"/>
      <c r="AA211" s="1347"/>
      <c r="AB211" s="1348"/>
      <c r="AC211" s="1137"/>
      <c r="AD211" s="1347"/>
    </row>
    <row r="212" spans="1:30" s="293" customFormat="1" ht="14.25" hidden="1" customHeight="1">
      <c r="A212" s="1385"/>
      <c r="B212" s="1377"/>
      <c r="C212" s="1379"/>
      <c r="D212" s="1379"/>
      <c r="E212" s="1379"/>
      <c r="F212" s="1379"/>
      <c r="G212" s="1379"/>
      <c r="H212" s="1379"/>
      <c r="I212" s="1352">
        <f t="shared" si="115"/>
        <v>0</v>
      </c>
      <c r="J212" s="1137">
        <f t="shared" si="116"/>
        <v>0</v>
      </c>
      <c r="K212" s="1347">
        <f t="shared" si="117"/>
        <v>0</v>
      </c>
      <c r="L212" s="1137"/>
      <c r="M212" s="1137"/>
      <c r="N212" s="1347"/>
      <c r="O212" s="1349">
        <f t="shared" si="106"/>
        <v>0</v>
      </c>
      <c r="P212" s="1252"/>
      <c r="Q212" s="1252"/>
      <c r="R212" s="1252"/>
      <c r="S212" s="1350">
        <f t="shared" si="107"/>
        <v>0</v>
      </c>
      <c r="T212" s="451">
        <f t="shared" si="113"/>
        <v>0</v>
      </c>
      <c r="U212" s="660">
        <f t="shared" si="114"/>
        <v>0</v>
      </c>
      <c r="V212" s="1351">
        <f t="shared" si="108"/>
        <v>0</v>
      </c>
      <c r="W212" s="451">
        <f t="shared" si="109"/>
        <v>0</v>
      </c>
      <c r="X212" s="660">
        <f t="shared" si="110"/>
        <v>0</v>
      </c>
      <c r="Y212" s="1352"/>
      <c r="Z212" s="1137"/>
      <c r="AA212" s="1347"/>
      <c r="AB212" s="1348"/>
      <c r="AC212" s="1137"/>
      <c r="AD212" s="1347"/>
    </row>
    <row r="213" spans="1:30" s="293" customFormat="1" ht="14.25" hidden="1" customHeight="1">
      <c r="A213" s="1385"/>
      <c r="B213" s="1377"/>
      <c r="C213" s="1379"/>
      <c r="D213" s="1379"/>
      <c r="E213" s="1379"/>
      <c r="F213" s="1379"/>
      <c r="G213" s="1379"/>
      <c r="H213" s="1379"/>
      <c r="I213" s="1352">
        <f t="shared" si="115"/>
        <v>0</v>
      </c>
      <c r="J213" s="1137">
        <f t="shared" si="116"/>
        <v>0</v>
      </c>
      <c r="K213" s="1347">
        <f t="shared" si="117"/>
        <v>0</v>
      </c>
      <c r="L213" s="1137"/>
      <c r="M213" s="1137"/>
      <c r="N213" s="1347"/>
      <c r="O213" s="1349">
        <f t="shared" si="106"/>
        <v>0</v>
      </c>
      <c r="P213" s="1252"/>
      <c r="Q213" s="1252"/>
      <c r="R213" s="1252"/>
      <c r="S213" s="1350">
        <f t="shared" si="107"/>
        <v>0</v>
      </c>
      <c r="T213" s="451">
        <f t="shared" si="113"/>
        <v>0</v>
      </c>
      <c r="U213" s="660">
        <f t="shared" si="114"/>
        <v>0</v>
      </c>
      <c r="V213" s="1351">
        <f t="shared" si="108"/>
        <v>0</v>
      </c>
      <c r="W213" s="451">
        <f t="shared" si="109"/>
        <v>0</v>
      </c>
      <c r="X213" s="660">
        <f t="shared" si="110"/>
        <v>0</v>
      </c>
      <c r="Y213" s="1352"/>
      <c r="Z213" s="1137"/>
      <c r="AA213" s="1347"/>
      <c r="AB213" s="1348"/>
      <c r="AC213" s="1137"/>
      <c r="AD213" s="1347"/>
    </row>
    <row r="214" spans="1:30" s="293" customFormat="1" ht="14.25" hidden="1" customHeight="1">
      <c r="A214" s="1385"/>
      <c r="B214" s="1377"/>
      <c r="C214" s="1379"/>
      <c r="D214" s="1379"/>
      <c r="E214" s="1379"/>
      <c r="F214" s="1379"/>
      <c r="G214" s="1379"/>
      <c r="H214" s="1379"/>
      <c r="I214" s="1352">
        <f t="shared" si="115"/>
        <v>0</v>
      </c>
      <c r="J214" s="1137">
        <f t="shared" si="116"/>
        <v>0</v>
      </c>
      <c r="K214" s="1347">
        <f t="shared" si="117"/>
        <v>0</v>
      </c>
      <c r="L214" s="1137"/>
      <c r="M214" s="1137"/>
      <c r="N214" s="1347"/>
      <c r="O214" s="1349">
        <f t="shared" si="106"/>
        <v>0</v>
      </c>
      <c r="P214" s="1252"/>
      <c r="Q214" s="1252"/>
      <c r="R214" s="1252"/>
      <c r="S214" s="1350">
        <f t="shared" si="107"/>
        <v>0</v>
      </c>
      <c r="T214" s="451">
        <f t="shared" si="113"/>
        <v>0</v>
      </c>
      <c r="U214" s="660">
        <f t="shared" si="114"/>
        <v>0</v>
      </c>
      <c r="V214" s="1351">
        <f t="shared" si="108"/>
        <v>0</v>
      </c>
      <c r="W214" s="451">
        <f t="shared" si="109"/>
        <v>0</v>
      </c>
      <c r="X214" s="660">
        <f t="shared" si="110"/>
        <v>0</v>
      </c>
      <c r="Y214" s="1352"/>
      <c r="Z214" s="1137"/>
      <c r="AA214" s="1347"/>
      <c r="AB214" s="1348"/>
      <c r="AC214" s="1137"/>
      <c r="AD214" s="1347"/>
    </row>
    <row r="215" spans="1:30" s="293" customFormat="1" ht="14.25" hidden="1" customHeight="1">
      <c r="A215" s="1385"/>
      <c r="B215" s="1377"/>
      <c r="C215" s="1379"/>
      <c r="D215" s="1379"/>
      <c r="E215" s="1379"/>
      <c r="F215" s="1379"/>
      <c r="G215" s="1379"/>
      <c r="H215" s="1379"/>
      <c r="I215" s="1352">
        <f t="shared" si="115"/>
        <v>0</v>
      </c>
      <c r="J215" s="1137">
        <f t="shared" si="116"/>
        <v>0</v>
      </c>
      <c r="K215" s="1347">
        <f t="shared" si="117"/>
        <v>0</v>
      </c>
      <c r="L215" s="1137"/>
      <c r="M215" s="1137"/>
      <c r="N215" s="1347"/>
      <c r="O215" s="1349">
        <f t="shared" si="106"/>
        <v>0</v>
      </c>
      <c r="P215" s="1252"/>
      <c r="Q215" s="1252"/>
      <c r="R215" s="1252"/>
      <c r="S215" s="1350">
        <f t="shared" si="107"/>
        <v>0</v>
      </c>
      <c r="T215" s="451">
        <f t="shared" si="113"/>
        <v>0</v>
      </c>
      <c r="U215" s="660">
        <f t="shared" si="114"/>
        <v>0</v>
      </c>
      <c r="V215" s="1351">
        <f t="shared" si="108"/>
        <v>0</v>
      </c>
      <c r="W215" s="451">
        <f t="shared" si="109"/>
        <v>0</v>
      </c>
      <c r="X215" s="660">
        <f t="shared" si="110"/>
        <v>0</v>
      </c>
      <c r="Y215" s="1352"/>
      <c r="Z215" s="1137"/>
      <c r="AA215" s="1347"/>
      <c r="AB215" s="1348"/>
      <c r="AC215" s="1137"/>
      <c r="AD215" s="1347"/>
    </row>
    <row r="216" spans="1:30" s="293" customFormat="1" ht="14.25" hidden="1" customHeight="1">
      <c r="A216" s="1385"/>
      <c r="B216" s="1377"/>
      <c r="C216" s="1379"/>
      <c r="D216" s="1379"/>
      <c r="E216" s="1379"/>
      <c r="F216" s="1379"/>
      <c r="G216" s="1379"/>
      <c r="H216" s="1379"/>
      <c r="I216" s="1352">
        <f t="shared" si="115"/>
        <v>0</v>
      </c>
      <c r="J216" s="1137">
        <f t="shared" si="116"/>
        <v>0</v>
      </c>
      <c r="K216" s="1347">
        <f t="shared" si="117"/>
        <v>0</v>
      </c>
      <c r="L216" s="1137"/>
      <c r="M216" s="1137"/>
      <c r="N216" s="1347"/>
      <c r="O216" s="1349">
        <f t="shared" si="106"/>
        <v>0</v>
      </c>
      <c r="P216" s="1252"/>
      <c r="Q216" s="1252"/>
      <c r="R216" s="1252"/>
      <c r="S216" s="1350">
        <f t="shared" si="107"/>
        <v>0</v>
      </c>
      <c r="T216" s="451">
        <f t="shared" si="113"/>
        <v>0</v>
      </c>
      <c r="U216" s="660">
        <f t="shared" si="114"/>
        <v>0</v>
      </c>
      <c r="V216" s="1351">
        <f t="shared" si="108"/>
        <v>0</v>
      </c>
      <c r="W216" s="451">
        <f t="shared" si="109"/>
        <v>0</v>
      </c>
      <c r="X216" s="660">
        <f t="shared" si="110"/>
        <v>0</v>
      </c>
      <c r="Y216" s="1352"/>
      <c r="Z216" s="1137"/>
      <c r="AA216" s="1347"/>
      <c r="AB216" s="1348"/>
      <c r="AC216" s="1137"/>
      <c r="AD216" s="1347"/>
    </row>
    <row r="217" spans="1:30" s="293" customFormat="1" ht="14.25" hidden="1" customHeight="1">
      <c r="A217" s="1385"/>
      <c r="B217" s="1461"/>
      <c r="C217" s="1379"/>
      <c r="D217" s="1379"/>
      <c r="E217" s="1379"/>
      <c r="F217" s="1379"/>
      <c r="G217" s="1379"/>
      <c r="H217" s="1379"/>
      <c r="I217" s="1352">
        <f t="shared" si="115"/>
        <v>0</v>
      </c>
      <c r="J217" s="1137">
        <f t="shared" si="116"/>
        <v>0</v>
      </c>
      <c r="K217" s="1347">
        <f t="shared" si="117"/>
        <v>0</v>
      </c>
      <c r="L217" s="1137"/>
      <c r="M217" s="1137"/>
      <c r="N217" s="1347"/>
      <c r="O217" s="1349">
        <f t="shared" si="106"/>
        <v>0</v>
      </c>
      <c r="P217" s="1252"/>
      <c r="Q217" s="1252"/>
      <c r="R217" s="1252"/>
      <c r="S217" s="1350">
        <f t="shared" si="107"/>
        <v>0</v>
      </c>
      <c r="T217" s="451">
        <f t="shared" si="113"/>
        <v>0</v>
      </c>
      <c r="U217" s="660">
        <f t="shared" si="114"/>
        <v>0</v>
      </c>
      <c r="V217" s="1351">
        <f t="shared" si="108"/>
        <v>0</v>
      </c>
      <c r="W217" s="451">
        <f t="shared" si="109"/>
        <v>0</v>
      </c>
      <c r="X217" s="660">
        <f t="shared" si="110"/>
        <v>0</v>
      </c>
      <c r="Y217" s="1352"/>
      <c r="Z217" s="1137"/>
      <c r="AA217" s="1347"/>
      <c r="AB217" s="1348"/>
      <c r="AC217" s="1137"/>
      <c r="AD217" s="1347"/>
    </row>
    <row r="218" spans="1:30" s="293" customFormat="1" ht="14.25" hidden="1" customHeight="1">
      <c r="A218" s="1385"/>
      <c r="B218" s="1461"/>
      <c r="C218" s="1379"/>
      <c r="D218" s="1379"/>
      <c r="E218" s="1379"/>
      <c r="F218" s="1379"/>
      <c r="G218" s="1379"/>
      <c r="H218" s="1379"/>
      <c r="I218" s="1352">
        <f t="shared" si="115"/>
        <v>0</v>
      </c>
      <c r="J218" s="1137">
        <f t="shared" si="116"/>
        <v>0</v>
      </c>
      <c r="K218" s="1347">
        <f t="shared" si="117"/>
        <v>0</v>
      </c>
      <c r="L218" s="1137"/>
      <c r="M218" s="1137"/>
      <c r="N218" s="1347"/>
      <c r="O218" s="1349">
        <f t="shared" si="106"/>
        <v>0</v>
      </c>
      <c r="P218" s="1252"/>
      <c r="Q218" s="1252"/>
      <c r="R218" s="1252"/>
      <c r="S218" s="1350">
        <f t="shared" si="107"/>
        <v>0</v>
      </c>
      <c r="T218" s="451">
        <f t="shared" si="113"/>
        <v>0</v>
      </c>
      <c r="U218" s="660">
        <f t="shared" si="114"/>
        <v>0</v>
      </c>
      <c r="V218" s="1351">
        <f t="shared" si="108"/>
        <v>0</v>
      </c>
      <c r="W218" s="451">
        <f t="shared" si="109"/>
        <v>0</v>
      </c>
      <c r="X218" s="660">
        <f t="shared" si="110"/>
        <v>0</v>
      </c>
      <c r="Y218" s="1352"/>
      <c r="Z218" s="1137"/>
      <c r="AA218" s="1347"/>
      <c r="AB218" s="1348"/>
      <c r="AC218" s="1137"/>
      <c r="AD218" s="1347"/>
    </row>
    <row r="219" spans="1:30" s="293" customFormat="1" ht="9.75" customHeight="1">
      <c r="A219" s="1385"/>
      <c r="B219" s="1461"/>
      <c r="C219" s="1379"/>
      <c r="D219" s="1379"/>
      <c r="E219" s="1379"/>
      <c r="F219" s="1379"/>
      <c r="G219" s="1379"/>
      <c r="H219" s="1379"/>
      <c r="I219" s="1350"/>
      <c r="J219" s="451"/>
      <c r="K219" s="660"/>
      <c r="L219" s="451"/>
      <c r="M219" s="451"/>
      <c r="N219" s="660"/>
      <c r="O219" s="1372"/>
      <c r="P219" s="451"/>
      <c r="Q219" s="451"/>
      <c r="R219" s="451"/>
      <c r="S219" s="1427"/>
      <c r="T219" s="1430"/>
      <c r="U219" s="1429"/>
      <c r="V219" s="1351"/>
      <c r="W219" s="451"/>
      <c r="X219" s="660"/>
      <c r="Y219" s="1427"/>
      <c r="Z219" s="1430"/>
      <c r="AA219" s="1429"/>
      <c r="AB219" s="1351"/>
      <c r="AC219" s="451"/>
      <c r="AD219" s="660"/>
    </row>
    <row r="220" spans="1:30" s="326" customFormat="1" ht="27.75" customHeight="1">
      <c r="A220" s="1432" t="s">
        <v>1054</v>
      </c>
      <c r="B220" s="1433"/>
      <c r="C220" s="1462">
        <f t="shared" ref="C220:AD220" si="118">SUM(C187:C219)/2</f>
        <v>17945000</v>
      </c>
      <c r="D220" s="1462">
        <f t="shared" si="118"/>
        <v>14130000</v>
      </c>
      <c r="E220" s="1462">
        <f t="shared" si="118"/>
        <v>3815000</v>
      </c>
      <c r="F220" s="1462">
        <f t="shared" si="118"/>
        <v>17945000</v>
      </c>
      <c r="G220" s="1462">
        <f t="shared" si="118"/>
        <v>0</v>
      </c>
      <c r="H220" s="1462">
        <f t="shared" si="118"/>
        <v>0</v>
      </c>
      <c r="I220" s="408">
        <f t="shared" si="118"/>
        <v>36868000</v>
      </c>
      <c r="J220" s="1441">
        <f t="shared" si="118"/>
        <v>29030000</v>
      </c>
      <c r="K220" s="1436">
        <f t="shared" si="118"/>
        <v>7838000</v>
      </c>
      <c r="L220" s="1438">
        <f t="shared" si="118"/>
        <v>36868000</v>
      </c>
      <c r="M220" s="1437">
        <f t="shared" si="118"/>
        <v>0</v>
      </c>
      <c r="N220" s="1439">
        <f t="shared" si="118"/>
        <v>0</v>
      </c>
      <c r="O220" s="1440">
        <f t="shared" si="118"/>
        <v>0</v>
      </c>
      <c r="P220" s="1436">
        <f t="shared" si="118"/>
        <v>0</v>
      </c>
      <c r="Q220" s="1437">
        <f t="shared" si="118"/>
        <v>0</v>
      </c>
      <c r="R220" s="1439">
        <f t="shared" si="118"/>
        <v>0</v>
      </c>
      <c r="S220" s="1462">
        <f t="shared" si="118"/>
        <v>36868000</v>
      </c>
      <c r="T220" s="1462">
        <f t="shared" si="118"/>
        <v>29030000</v>
      </c>
      <c r="U220" s="1462">
        <f t="shared" si="118"/>
        <v>7838000</v>
      </c>
      <c r="V220" s="1462">
        <f t="shared" si="118"/>
        <v>36868000</v>
      </c>
      <c r="W220" s="1462">
        <f t="shared" si="118"/>
        <v>0</v>
      </c>
      <c r="X220" s="1462">
        <f t="shared" si="118"/>
        <v>0</v>
      </c>
      <c r="Y220" s="1442">
        <f t="shared" si="118"/>
        <v>34714277</v>
      </c>
      <c r="Z220" s="1441">
        <f t="shared" si="118"/>
        <v>27334077</v>
      </c>
      <c r="AA220" s="1436">
        <f t="shared" si="118"/>
        <v>7380200</v>
      </c>
      <c r="AB220" s="1438">
        <f t="shared" si="118"/>
        <v>34714277</v>
      </c>
      <c r="AC220" s="1437">
        <f t="shared" si="118"/>
        <v>0</v>
      </c>
      <c r="AD220" s="1439">
        <f t="shared" si="118"/>
        <v>0</v>
      </c>
    </row>
    <row r="221" spans="1:30" s="293" customFormat="1" ht="15.75" customHeight="1">
      <c r="A221" s="1385"/>
      <c r="B221" s="1461"/>
      <c r="C221" s="1379"/>
      <c r="D221" s="1379"/>
      <c r="E221" s="1379"/>
      <c r="F221" s="1379"/>
      <c r="G221" s="1379"/>
      <c r="H221" s="1379"/>
      <c r="I221" s="1352"/>
      <c r="J221" s="1137"/>
      <c r="K221" s="1347"/>
      <c r="L221" s="1463"/>
      <c r="M221" s="1464"/>
      <c r="N221" s="1465"/>
      <c r="O221" s="1372"/>
      <c r="P221" s="1137"/>
      <c r="Q221" s="1137"/>
      <c r="R221" s="1137"/>
      <c r="S221" s="1466"/>
      <c r="T221" s="451"/>
      <c r="U221" s="451"/>
      <c r="V221" s="1351"/>
      <c r="W221" s="451"/>
      <c r="X221" s="660"/>
      <c r="Y221" s="1467"/>
      <c r="Z221" s="1137"/>
      <c r="AA221" s="1137"/>
      <c r="AB221" s="1348"/>
      <c r="AC221" s="1137"/>
      <c r="AD221" s="1347"/>
    </row>
    <row r="222" spans="1:30" s="293" customFormat="1" ht="21.75" customHeight="1">
      <c r="A222" s="1328" t="s">
        <v>1055</v>
      </c>
      <c r="B222" s="1329"/>
      <c r="C222" s="1468">
        <f t="shared" ref="C222:AD222" si="119">SUM(C223:C269)</f>
        <v>1190488000</v>
      </c>
      <c r="D222" s="1468">
        <f t="shared" si="119"/>
        <v>937392000</v>
      </c>
      <c r="E222" s="1468">
        <f t="shared" si="119"/>
        <v>253096000</v>
      </c>
      <c r="F222" s="1468">
        <f t="shared" si="119"/>
        <v>480430000</v>
      </c>
      <c r="G222" s="1468">
        <f t="shared" si="119"/>
        <v>0</v>
      </c>
      <c r="H222" s="1468">
        <f t="shared" si="119"/>
        <v>710058000</v>
      </c>
      <c r="I222" s="1342">
        <f t="shared" si="119"/>
        <v>1206086450</v>
      </c>
      <c r="J222" s="1335">
        <f t="shared" si="119"/>
        <v>949674000</v>
      </c>
      <c r="K222" s="1333">
        <f t="shared" si="119"/>
        <v>256412450</v>
      </c>
      <c r="L222" s="1334">
        <f t="shared" si="119"/>
        <v>496028450</v>
      </c>
      <c r="M222" s="1335">
        <f t="shared" si="119"/>
        <v>0</v>
      </c>
      <c r="N222" s="1333">
        <f t="shared" si="119"/>
        <v>710058000</v>
      </c>
      <c r="O222" s="1469">
        <f t="shared" si="119"/>
        <v>-25000</v>
      </c>
      <c r="P222" s="1470">
        <f t="shared" si="119"/>
        <v>0</v>
      </c>
      <c r="Q222" s="1470">
        <f t="shared" si="119"/>
        <v>0</v>
      </c>
      <c r="R222" s="1471">
        <f t="shared" si="119"/>
        <v>-25000</v>
      </c>
      <c r="S222" s="1338">
        <f t="shared" si="119"/>
        <v>1203116310</v>
      </c>
      <c r="T222" s="1341">
        <f t="shared" si="119"/>
        <v>947356022</v>
      </c>
      <c r="U222" s="1341">
        <f t="shared" si="119"/>
        <v>255786288</v>
      </c>
      <c r="V222" s="1339">
        <f t="shared" si="119"/>
        <v>493084310</v>
      </c>
      <c r="W222" s="1341">
        <f t="shared" si="119"/>
        <v>0</v>
      </c>
      <c r="X222" s="1340">
        <f t="shared" si="119"/>
        <v>710032000</v>
      </c>
      <c r="Y222" s="1342">
        <f t="shared" si="119"/>
        <v>1172364641</v>
      </c>
      <c r="Z222" s="1335">
        <f t="shared" si="119"/>
        <v>922910215</v>
      </c>
      <c r="AA222" s="1335">
        <f t="shared" si="119"/>
        <v>249454426</v>
      </c>
      <c r="AB222" s="1334">
        <f t="shared" si="119"/>
        <v>469952643</v>
      </c>
      <c r="AC222" s="1335">
        <f t="shared" si="119"/>
        <v>0</v>
      </c>
      <c r="AD222" s="1333">
        <f t="shared" si="119"/>
        <v>702411998</v>
      </c>
    </row>
    <row r="223" spans="1:30" s="293" customFormat="1" ht="14.25" customHeight="1">
      <c r="A223" s="1472">
        <v>62001</v>
      </c>
      <c r="B223" s="1343" t="s">
        <v>1056</v>
      </c>
      <c r="C223" s="1346">
        <v>76200000</v>
      </c>
      <c r="D223" s="1346">
        <v>60000000</v>
      </c>
      <c r="E223" s="1346">
        <v>16200000</v>
      </c>
      <c r="F223" s="1346">
        <v>76200000</v>
      </c>
      <c r="G223" s="1346"/>
      <c r="H223" s="1346"/>
      <c r="I223" s="1347">
        <f t="shared" ref="I223:I252" si="120">SUM(L223:N223)</f>
        <v>76200000</v>
      </c>
      <c r="J223" s="451">
        <f t="shared" ref="J223:J233" si="121">SUM(I223)/1.27</f>
        <v>60000000</v>
      </c>
      <c r="K223" s="660">
        <f t="shared" ref="K223:K233" si="122">SUM(J223)*0.27</f>
        <v>16200000</v>
      </c>
      <c r="L223" s="1137">
        <v>76200000</v>
      </c>
      <c r="M223" s="1137"/>
      <c r="N223" s="1347"/>
      <c r="O223" s="1349">
        <f t="shared" ref="O223:O269" si="123">SUM(P223:R223)</f>
        <v>0</v>
      </c>
      <c r="P223" s="1252"/>
      <c r="Q223" s="1252"/>
      <c r="R223" s="1473"/>
      <c r="S223" s="1350">
        <f t="shared" ref="S223:S269" si="124">SUM(V223:X223)</f>
        <v>76200000</v>
      </c>
      <c r="T223" s="451">
        <f t="shared" ref="T223:T233" si="125">SUM(S223)/1.27</f>
        <v>60000000</v>
      </c>
      <c r="U223" s="451">
        <f t="shared" ref="U223:U233" si="126">SUM(T223)*0.27</f>
        <v>16200000</v>
      </c>
      <c r="V223" s="1351">
        <f t="shared" ref="V223:X226" si="127">SUM(L223+P223)</f>
        <v>76200000</v>
      </c>
      <c r="W223" s="451">
        <f t="shared" si="127"/>
        <v>0</v>
      </c>
      <c r="X223" s="660">
        <f t="shared" si="127"/>
        <v>0</v>
      </c>
      <c r="Y223" s="1352">
        <f t="shared" ref="Y223:Y269" si="128">Z223+AA223</f>
        <v>65839738</v>
      </c>
      <c r="Z223" s="1137">
        <v>51842313</v>
      </c>
      <c r="AA223" s="1137">
        <v>13997425</v>
      </c>
      <c r="AB223" s="1348">
        <v>65839738</v>
      </c>
      <c r="AC223" s="1137"/>
      <c r="AD223" s="1347"/>
    </row>
    <row r="224" spans="1:30" s="293" customFormat="1" ht="14.25" customHeight="1">
      <c r="A224" s="1371">
        <v>62002</v>
      </c>
      <c r="B224" s="1377" t="s">
        <v>1057</v>
      </c>
      <c r="C224" s="1379">
        <v>12700000</v>
      </c>
      <c r="D224" s="1379">
        <v>10000000</v>
      </c>
      <c r="E224" s="1379">
        <v>2700000</v>
      </c>
      <c r="F224" s="1379">
        <v>12700000</v>
      </c>
      <c r="G224" s="1379"/>
      <c r="H224" s="1379"/>
      <c r="I224" s="1347">
        <f t="shared" si="120"/>
        <v>12700000</v>
      </c>
      <c r="J224" s="451">
        <f t="shared" si="121"/>
        <v>10000000</v>
      </c>
      <c r="K224" s="660">
        <f t="shared" si="122"/>
        <v>2700000</v>
      </c>
      <c r="L224" s="1137">
        <v>12700000</v>
      </c>
      <c r="M224" s="1137"/>
      <c r="N224" s="1347"/>
      <c r="O224" s="1349">
        <f t="shared" si="123"/>
        <v>0</v>
      </c>
      <c r="P224" s="1252"/>
      <c r="Q224" s="1252"/>
      <c r="R224" s="1473"/>
      <c r="S224" s="1350">
        <f t="shared" si="124"/>
        <v>12700000</v>
      </c>
      <c r="T224" s="451">
        <f t="shared" si="125"/>
        <v>10000000</v>
      </c>
      <c r="U224" s="451">
        <f t="shared" si="126"/>
        <v>2700000</v>
      </c>
      <c r="V224" s="1351">
        <f t="shared" si="127"/>
        <v>12700000</v>
      </c>
      <c r="W224" s="451">
        <f t="shared" si="127"/>
        <v>0</v>
      </c>
      <c r="X224" s="660">
        <f t="shared" si="127"/>
        <v>0</v>
      </c>
      <c r="Y224" s="1352">
        <f t="shared" si="128"/>
        <v>12699791</v>
      </c>
      <c r="Z224" s="1137">
        <v>9999835</v>
      </c>
      <c r="AA224" s="1137">
        <v>2699956</v>
      </c>
      <c r="AB224" s="1348">
        <v>12699791</v>
      </c>
      <c r="AC224" s="1137"/>
      <c r="AD224" s="1347"/>
    </row>
    <row r="225" spans="1:30" s="293" customFormat="1" ht="14.25" customHeight="1">
      <c r="A225" s="1371">
        <v>62003</v>
      </c>
      <c r="B225" s="1377" t="s">
        <v>1058</v>
      </c>
      <c r="C225" s="1379">
        <v>25400000</v>
      </c>
      <c r="D225" s="1379">
        <v>20000000</v>
      </c>
      <c r="E225" s="1379">
        <v>5400000</v>
      </c>
      <c r="F225" s="1379">
        <v>25400000</v>
      </c>
      <c r="G225" s="1379"/>
      <c r="H225" s="1379"/>
      <c r="I225" s="1347">
        <f t="shared" si="120"/>
        <v>25400000</v>
      </c>
      <c r="J225" s="451">
        <f t="shared" si="121"/>
        <v>20000000</v>
      </c>
      <c r="K225" s="660">
        <f t="shared" si="122"/>
        <v>5400000</v>
      </c>
      <c r="L225" s="1137">
        <v>25400000</v>
      </c>
      <c r="M225" s="1137"/>
      <c r="N225" s="1347"/>
      <c r="O225" s="1349">
        <f t="shared" si="123"/>
        <v>0</v>
      </c>
      <c r="P225" s="1252"/>
      <c r="Q225" s="1252"/>
      <c r="R225" s="1473"/>
      <c r="S225" s="1350">
        <f t="shared" si="124"/>
        <v>25400000</v>
      </c>
      <c r="T225" s="451">
        <f t="shared" si="125"/>
        <v>20000000</v>
      </c>
      <c r="U225" s="451">
        <f t="shared" si="126"/>
        <v>5400000</v>
      </c>
      <c r="V225" s="1351">
        <f t="shared" si="127"/>
        <v>25400000</v>
      </c>
      <c r="W225" s="451">
        <f t="shared" si="127"/>
        <v>0</v>
      </c>
      <c r="X225" s="660">
        <f t="shared" si="127"/>
        <v>0</v>
      </c>
      <c r="Y225" s="1352">
        <f t="shared" si="128"/>
        <v>25399715</v>
      </c>
      <c r="Z225" s="1137">
        <v>19999775</v>
      </c>
      <c r="AA225" s="1137">
        <v>5399940</v>
      </c>
      <c r="AB225" s="1348">
        <v>25399715</v>
      </c>
      <c r="AC225" s="1137"/>
      <c r="AD225" s="1347"/>
    </row>
    <row r="226" spans="1:30" s="293" customFormat="1" ht="14.25" customHeight="1">
      <c r="A226" s="1371">
        <v>62004</v>
      </c>
      <c r="B226" s="1377" t="s">
        <v>1059</v>
      </c>
      <c r="C226" s="1379">
        <v>85090000</v>
      </c>
      <c r="D226" s="1379">
        <v>67000000</v>
      </c>
      <c r="E226" s="1379">
        <v>18090000</v>
      </c>
      <c r="F226" s="1379">
        <v>85090000</v>
      </c>
      <c r="G226" s="1379"/>
      <c r="H226" s="1379"/>
      <c r="I226" s="1347">
        <f t="shared" si="120"/>
        <v>77006450</v>
      </c>
      <c r="J226" s="451">
        <f t="shared" si="121"/>
        <v>60635000</v>
      </c>
      <c r="K226" s="660">
        <f t="shared" si="122"/>
        <v>16371450</v>
      </c>
      <c r="L226" s="1137">
        <v>77006450</v>
      </c>
      <c r="M226" s="1137"/>
      <c r="N226" s="1347"/>
      <c r="O226" s="1349">
        <f t="shared" si="123"/>
        <v>0</v>
      </c>
      <c r="P226" s="1252"/>
      <c r="Q226" s="1252"/>
      <c r="R226" s="1473"/>
      <c r="S226" s="1350">
        <f t="shared" si="124"/>
        <v>77006450</v>
      </c>
      <c r="T226" s="451">
        <f t="shared" si="125"/>
        <v>60635000</v>
      </c>
      <c r="U226" s="451">
        <f t="shared" si="126"/>
        <v>16371450</v>
      </c>
      <c r="V226" s="1351">
        <f t="shared" si="127"/>
        <v>77006450</v>
      </c>
      <c r="W226" s="451">
        <f t="shared" si="127"/>
        <v>0</v>
      </c>
      <c r="X226" s="660">
        <f t="shared" si="127"/>
        <v>0</v>
      </c>
      <c r="Y226" s="1352">
        <f t="shared" si="128"/>
        <v>77006450</v>
      </c>
      <c r="Z226" s="1137">
        <v>60635000</v>
      </c>
      <c r="AA226" s="1137">
        <v>16371450</v>
      </c>
      <c r="AB226" s="1348">
        <v>77006450</v>
      </c>
      <c r="AC226" s="1137"/>
      <c r="AD226" s="1347"/>
    </row>
    <row r="227" spans="1:30" s="293" customFormat="1" ht="14.25" customHeight="1">
      <c r="A227" s="1371">
        <v>62005</v>
      </c>
      <c r="B227" s="1377" t="s">
        <v>1060</v>
      </c>
      <c r="C227" s="1379">
        <v>38100000</v>
      </c>
      <c r="D227" s="1379">
        <v>30000000</v>
      </c>
      <c r="E227" s="1379">
        <v>8100000</v>
      </c>
      <c r="F227" s="1379">
        <v>38100000</v>
      </c>
      <c r="G227" s="1379"/>
      <c r="H227" s="1379"/>
      <c r="I227" s="1347">
        <f t="shared" si="120"/>
        <v>34480500</v>
      </c>
      <c r="J227" s="451">
        <f t="shared" si="121"/>
        <v>27150000</v>
      </c>
      <c r="K227" s="660">
        <f t="shared" si="122"/>
        <v>7330500</v>
      </c>
      <c r="L227" s="1137">
        <v>34480500</v>
      </c>
      <c r="M227" s="1137"/>
      <c r="N227" s="1347"/>
      <c r="O227" s="1349">
        <f t="shared" si="123"/>
        <v>0</v>
      </c>
      <c r="P227" s="1252"/>
      <c r="Q227" s="1252"/>
      <c r="R227" s="1473"/>
      <c r="S227" s="1350">
        <f t="shared" si="124"/>
        <v>28393962</v>
      </c>
      <c r="T227" s="451">
        <f t="shared" si="125"/>
        <v>22357450</v>
      </c>
      <c r="U227" s="451">
        <f t="shared" si="126"/>
        <v>6036512</v>
      </c>
      <c r="V227" s="1351">
        <v>28393962</v>
      </c>
      <c r="W227" s="451">
        <f t="shared" ref="W227:X233" si="129">SUM(M227+Q227)</f>
        <v>0</v>
      </c>
      <c r="X227" s="660">
        <f t="shared" si="129"/>
        <v>0</v>
      </c>
      <c r="Y227" s="1352">
        <f t="shared" si="128"/>
        <v>28393962</v>
      </c>
      <c r="Z227" s="1137">
        <v>22357450</v>
      </c>
      <c r="AA227" s="1137">
        <v>6036512</v>
      </c>
      <c r="AB227" s="1348">
        <v>28393962</v>
      </c>
      <c r="AC227" s="1137"/>
      <c r="AD227" s="1347"/>
    </row>
    <row r="228" spans="1:30" s="293" customFormat="1" ht="14.25" customHeight="1">
      <c r="A228" s="1371">
        <v>62006</v>
      </c>
      <c r="B228" s="1377" t="s">
        <v>1061</v>
      </c>
      <c r="C228" s="1379">
        <v>63500000</v>
      </c>
      <c r="D228" s="1379">
        <v>50000000</v>
      </c>
      <c r="E228" s="1379">
        <v>13500000</v>
      </c>
      <c r="F228" s="1379">
        <v>63500000</v>
      </c>
      <c r="G228" s="1379"/>
      <c r="H228" s="1379"/>
      <c r="I228" s="1347">
        <f t="shared" si="120"/>
        <v>57467500</v>
      </c>
      <c r="J228" s="451">
        <f t="shared" si="121"/>
        <v>45250000</v>
      </c>
      <c r="K228" s="660">
        <f t="shared" si="122"/>
        <v>12217500</v>
      </c>
      <c r="L228" s="1137">
        <v>57467500</v>
      </c>
      <c r="M228" s="1137"/>
      <c r="N228" s="1347"/>
      <c r="O228" s="1349">
        <f t="shared" si="123"/>
        <v>0</v>
      </c>
      <c r="P228" s="1252"/>
      <c r="Q228" s="1252"/>
      <c r="R228" s="1473"/>
      <c r="S228" s="1350">
        <f t="shared" si="124"/>
        <v>57467500</v>
      </c>
      <c r="T228" s="451">
        <f t="shared" si="125"/>
        <v>45250000</v>
      </c>
      <c r="U228" s="451">
        <f t="shared" si="126"/>
        <v>12217500</v>
      </c>
      <c r="V228" s="1351">
        <f t="shared" ref="V228:V242" si="130">SUM(L228+P228)</f>
        <v>57467500</v>
      </c>
      <c r="W228" s="451">
        <f t="shared" si="129"/>
        <v>0</v>
      </c>
      <c r="X228" s="660">
        <f t="shared" si="129"/>
        <v>0</v>
      </c>
      <c r="Y228" s="1352">
        <f t="shared" si="128"/>
        <v>57467500</v>
      </c>
      <c r="Z228" s="1137">
        <v>45250000</v>
      </c>
      <c r="AA228" s="1137">
        <v>12217500</v>
      </c>
      <c r="AB228" s="1348">
        <v>57467500</v>
      </c>
      <c r="AC228" s="1137"/>
      <c r="AD228" s="1347"/>
    </row>
    <row r="229" spans="1:30" s="293" customFormat="1" ht="14.25" customHeight="1">
      <c r="A229" s="1371">
        <v>62007</v>
      </c>
      <c r="B229" s="1377" t="s">
        <v>1062</v>
      </c>
      <c r="C229" s="1379">
        <v>7620000</v>
      </c>
      <c r="D229" s="1379">
        <v>6000000</v>
      </c>
      <c r="E229" s="1379">
        <v>1620000</v>
      </c>
      <c r="F229" s="1379">
        <v>7620000</v>
      </c>
      <c r="G229" s="1379"/>
      <c r="H229" s="1379"/>
      <c r="I229" s="1347">
        <f t="shared" si="120"/>
        <v>7620000</v>
      </c>
      <c r="J229" s="451">
        <f t="shared" si="121"/>
        <v>6000000</v>
      </c>
      <c r="K229" s="660">
        <f t="shared" si="122"/>
        <v>1620000</v>
      </c>
      <c r="L229" s="1137">
        <v>7620000</v>
      </c>
      <c r="M229" s="1137"/>
      <c r="N229" s="1347"/>
      <c r="O229" s="1349">
        <f t="shared" si="123"/>
        <v>0</v>
      </c>
      <c r="P229" s="1252"/>
      <c r="Q229" s="1252"/>
      <c r="R229" s="1473"/>
      <c r="S229" s="1350">
        <f t="shared" si="124"/>
        <v>7620000</v>
      </c>
      <c r="T229" s="451">
        <f t="shared" si="125"/>
        <v>6000000</v>
      </c>
      <c r="U229" s="451">
        <f t="shared" si="126"/>
        <v>1620000</v>
      </c>
      <c r="V229" s="1351">
        <f t="shared" si="130"/>
        <v>7620000</v>
      </c>
      <c r="W229" s="451">
        <f t="shared" si="129"/>
        <v>0</v>
      </c>
      <c r="X229" s="660">
        <f t="shared" si="129"/>
        <v>0</v>
      </c>
      <c r="Y229" s="1352">
        <f t="shared" si="128"/>
        <v>7071123</v>
      </c>
      <c r="Z229" s="1137">
        <v>5567814</v>
      </c>
      <c r="AA229" s="1137">
        <v>1503309</v>
      </c>
      <c r="AB229" s="1348">
        <v>7071123</v>
      </c>
      <c r="AC229" s="1137"/>
      <c r="AD229" s="1347"/>
    </row>
    <row r="230" spans="1:30" s="293" customFormat="1" ht="14.25" customHeight="1">
      <c r="A230" s="1371">
        <v>62008</v>
      </c>
      <c r="B230" s="1377" t="s">
        <v>1063</v>
      </c>
      <c r="C230" s="1379">
        <v>25400000</v>
      </c>
      <c r="D230" s="1379">
        <v>20000000</v>
      </c>
      <c r="E230" s="1379">
        <v>5400000</v>
      </c>
      <c r="F230" s="1379">
        <v>25400000</v>
      </c>
      <c r="G230" s="1379"/>
      <c r="H230" s="1379"/>
      <c r="I230" s="1347">
        <f t="shared" si="120"/>
        <v>25400000</v>
      </c>
      <c r="J230" s="451">
        <f t="shared" si="121"/>
        <v>20000000</v>
      </c>
      <c r="K230" s="660">
        <f t="shared" si="122"/>
        <v>5400000</v>
      </c>
      <c r="L230" s="1137">
        <v>25400000</v>
      </c>
      <c r="M230" s="1137"/>
      <c r="N230" s="1347"/>
      <c r="O230" s="1349">
        <f t="shared" si="123"/>
        <v>0</v>
      </c>
      <c r="P230" s="1252"/>
      <c r="Q230" s="1252"/>
      <c r="R230" s="1473"/>
      <c r="S230" s="1350">
        <f t="shared" si="124"/>
        <v>25400000</v>
      </c>
      <c r="T230" s="451">
        <f t="shared" si="125"/>
        <v>20000000</v>
      </c>
      <c r="U230" s="451">
        <f t="shared" si="126"/>
        <v>5400000</v>
      </c>
      <c r="V230" s="1351">
        <f t="shared" si="130"/>
        <v>25400000</v>
      </c>
      <c r="W230" s="451">
        <f t="shared" si="129"/>
        <v>0</v>
      </c>
      <c r="X230" s="660">
        <f t="shared" si="129"/>
        <v>0</v>
      </c>
      <c r="Y230" s="1352">
        <f t="shared" si="128"/>
        <v>25390267</v>
      </c>
      <c r="Z230" s="1137">
        <v>19992336</v>
      </c>
      <c r="AA230" s="1137">
        <v>5397931</v>
      </c>
      <c r="AB230" s="1348">
        <v>25390267</v>
      </c>
      <c r="AC230" s="1137"/>
      <c r="AD230" s="1347"/>
    </row>
    <row r="231" spans="1:30" s="293" customFormat="1" ht="14.25" customHeight="1">
      <c r="A231" s="1371">
        <v>62009</v>
      </c>
      <c r="B231" s="1377" t="s">
        <v>1064</v>
      </c>
      <c r="C231" s="1379">
        <v>12700000</v>
      </c>
      <c r="D231" s="1379">
        <v>10000000</v>
      </c>
      <c r="E231" s="1379">
        <v>2700000</v>
      </c>
      <c r="F231" s="1379">
        <v>12700000</v>
      </c>
      <c r="G231" s="1379"/>
      <c r="H231" s="1379"/>
      <c r="I231" s="1347">
        <f t="shared" si="120"/>
        <v>12700000</v>
      </c>
      <c r="J231" s="451">
        <f t="shared" si="121"/>
        <v>10000000</v>
      </c>
      <c r="K231" s="660">
        <f t="shared" si="122"/>
        <v>2700000</v>
      </c>
      <c r="L231" s="1137">
        <v>12700000</v>
      </c>
      <c r="M231" s="1137"/>
      <c r="N231" s="1347"/>
      <c r="O231" s="1349">
        <f t="shared" si="123"/>
        <v>0</v>
      </c>
      <c r="P231" s="1252"/>
      <c r="Q231" s="1252"/>
      <c r="R231" s="1473"/>
      <c r="S231" s="1350">
        <f t="shared" si="124"/>
        <v>12700000</v>
      </c>
      <c r="T231" s="451">
        <f t="shared" si="125"/>
        <v>10000000</v>
      </c>
      <c r="U231" s="451">
        <f t="shared" si="126"/>
        <v>2700000</v>
      </c>
      <c r="V231" s="1351">
        <f t="shared" si="130"/>
        <v>12700000</v>
      </c>
      <c r="W231" s="451">
        <f t="shared" si="129"/>
        <v>0</v>
      </c>
      <c r="X231" s="660">
        <f t="shared" si="129"/>
        <v>0</v>
      </c>
      <c r="Y231" s="1352">
        <f t="shared" si="128"/>
        <v>12700000</v>
      </c>
      <c r="Z231" s="1137">
        <v>10000000</v>
      </c>
      <c r="AA231" s="1137">
        <v>2700000</v>
      </c>
      <c r="AB231" s="1348">
        <v>12700000</v>
      </c>
      <c r="AC231" s="1137"/>
      <c r="AD231" s="1347"/>
    </row>
    <row r="232" spans="1:30" s="293" customFormat="1" ht="14.25" customHeight="1">
      <c r="A232" s="1371">
        <v>62010</v>
      </c>
      <c r="B232" s="1377" t="s">
        <v>1065</v>
      </c>
      <c r="C232" s="1379">
        <v>12700000</v>
      </c>
      <c r="D232" s="1379">
        <v>10000000</v>
      </c>
      <c r="E232" s="1379">
        <v>2700000</v>
      </c>
      <c r="F232" s="1379">
        <v>12700000</v>
      </c>
      <c r="G232" s="1379"/>
      <c r="H232" s="1379"/>
      <c r="I232" s="1347">
        <f t="shared" si="120"/>
        <v>12700000</v>
      </c>
      <c r="J232" s="451">
        <f t="shared" si="121"/>
        <v>10000000</v>
      </c>
      <c r="K232" s="660">
        <f t="shared" si="122"/>
        <v>2700000</v>
      </c>
      <c r="L232" s="1137">
        <v>12700000</v>
      </c>
      <c r="M232" s="1137"/>
      <c r="N232" s="1347"/>
      <c r="O232" s="1349">
        <f t="shared" si="123"/>
        <v>0</v>
      </c>
      <c r="P232" s="1252"/>
      <c r="Q232" s="1252"/>
      <c r="R232" s="1473"/>
      <c r="S232" s="1350">
        <f t="shared" si="124"/>
        <v>12700000</v>
      </c>
      <c r="T232" s="451">
        <f t="shared" si="125"/>
        <v>10000000</v>
      </c>
      <c r="U232" s="451">
        <f t="shared" si="126"/>
        <v>2700000</v>
      </c>
      <c r="V232" s="1351">
        <f t="shared" si="130"/>
        <v>12700000</v>
      </c>
      <c r="W232" s="451">
        <f t="shared" si="129"/>
        <v>0</v>
      </c>
      <c r="X232" s="660">
        <f t="shared" si="129"/>
        <v>0</v>
      </c>
      <c r="Y232" s="1352">
        <f t="shared" si="128"/>
        <v>12700000</v>
      </c>
      <c r="Z232" s="1137">
        <v>10000000</v>
      </c>
      <c r="AA232" s="1137">
        <v>2700000</v>
      </c>
      <c r="AB232" s="1348">
        <v>12700000</v>
      </c>
      <c r="AC232" s="1137"/>
      <c r="AD232" s="1347"/>
    </row>
    <row r="233" spans="1:30" s="293" customFormat="1" ht="14.25" customHeight="1">
      <c r="A233" s="1371">
        <v>62011</v>
      </c>
      <c r="B233" s="1377" t="s">
        <v>1066</v>
      </c>
      <c r="C233" s="1379">
        <v>23495000</v>
      </c>
      <c r="D233" s="1379">
        <v>18500000</v>
      </c>
      <c r="E233" s="1379">
        <v>4995000</v>
      </c>
      <c r="F233" s="1379">
        <v>23495000</v>
      </c>
      <c r="G233" s="1379"/>
      <c r="H233" s="1379"/>
      <c r="I233" s="1347">
        <f t="shared" si="120"/>
        <v>23495000</v>
      </c>
      <c r="J233" s="451">
        <f t="shared" si="121"/>
        <v>18500000</v>
      </c>
      <c r="K233" s="660">
        <f t="shared" si="122"/>
        <v>4995000</v>
      </c>
      <c r="L233" s="1137">
        <v>23495000</v>
      </c>
      <c r="M233" s="1137"/>
      <c r="N233" s="1347"/>
      <c r="O233" s="1349">
        <f t="shared" si="123"/>
        <v>0</v>
      </c>
      <c r="P233" s="1252"/>
      <c r="Q233" s="1252"/>
      <c r="R233" s="1473"/>
      <c r="S233" s="1350">
        <f t="shared" si="124"/>
        <v>23495000</v>
      </c>
      <c r="T233" s="451">
        <f t="shared" si="125"/>
        <v>18500000</v>
      </c>
      <c r="U233" s="451">
        <f t="shared" si="126"/>
        <v>4995000</v>
      </c>
      <c r="V233" s="1351">
        <f t="shared" si="130"/>
        <v>23495000</v>
      </c>
      <c r="W233" s="451">
        <f t="shared" si="129"/>
        <v>0</v>
      </c>
      <c r="X233" s="660">
        <f t="shared" si="129"/>
        <v>0</v>
      </c>
      <c r="Y233" s="1352">
        <f t="shared" si="128"/>
        <v>23488750</v>
      </c>
      <c r="Z233" s="1137">
        <v>18495079</v>
      </c>
      <c r="AA233" s="1137">
        <v>4993671</v>
      </c>
      <c r="AB233" s="1348">
        <v>23488750</v>
      </c>
      <c r="AC233" s="1137"/>
      <c r="AD233" s="1347"/>
    </row>
    <row r="234" spans="1:30" s="293" customFormat="1" ht="14.25" customHeight="1">
      <c r="A234" s="1371">
        <v>62012</v>
      </c>
      <c r="B234" s="1377" t="s">
        <v>251</v>
      </c>
      <c r="C234" s="1379">
        <v>710058000</v>
      </c>
      <c r="D234" s="1379">
        <v>559101000</v>
      </c>
      <c r="E234" s="1379">
        <v>150957000</v>
      </c>
      <c r="F234" s="1379"/>
      <c r="G234" s="1379"/>
      <c r="H234" s="1379">
        <v>710058000</v>
      </c>
      <c r="I234" s="1347">
        <f t="shared" si="120"/>
        <v>710058000</v>
      </c>
      <c r="J234" s="451">
        <v>559101000</v>
      </c>
      <c r="K234" s="660">
        <v>150957000</v>
      </c>
      <c r="L234" s="1137"/>
      <c r="M234" s="1137"/>
      <c r="N234" s="1347">
        <v>710058000</v>
      </c>
      <c r="O234" s="1349">
        <f t="shared" si="123"/>
        <v>-25000</v>
      </c>
      <c r="P234" s="1252"/>
      <c r="Q234" s="1252"/>
      <c r="R234" s="1473">
        <v>-25000</v>
      </c>
      <c r="S234" s="1350">
        <f t="shared" si="124"/>
        <v>710032000</v>
      </c>
      <c r="T234" s="451">
        <v>559101000</v>
      </c>
      <c r="U234" s="451">
        <v>150957000</v>
      </c>
      <c r="V234" s="1351">
        <f t="shared" si="130"/>
        <v>0</v>
      </c>
      <c r="W234" s="451">
        <f t="shared" ref="W234:W269" si="131">SUM(M234+Q234)</f>
        <v>0</v>
      </c>
      <c r="X234" s="660">
        <f>SUM(N234+R234)-1000</f>
        <v>710032000</v>
      </c>
      <c r="Y234" s="1352">
        <f t="shared" si="128"/>
        <v>702411998</v>
      </c>
      <c r="Z234" s="1137">
        <v>553080313</v>
      </c>
      <c r="AA234" s="1137">
        <v>149331685</v>
      </c>
      <c r="AB234" s="1348"/>
      <c r="AC234" s="1137"/>
      <c r="AD234" s="1347">
        <v>702411998</v>
      </c>
    </row>
    <row r="235" spans="1:30" s="293" customFormat="1" ht="14.25" customHeight="1">
      <c r="A235" s="1371">
        <v>52022</v>
      </c>
      <c r="B235" s="1377" t="s">
        <v>1067</v>
      </c>
      <c r="C235" s="1379">
        <v>9525000</v>
      </c>
      <c r="D235" s="1379">
        <v>7500000</v>
      </c>
      <c r="E235" s="1379">
        <v>2025000</v>
      </c>
      <c r="F235" s="1379">
        <v>9525000</v>
      </c>
      <c r="G235" s="1379"/>
      <c r="H235" s="1379"/>
      <c r="I235" s="1347">
        <f t="shared" si="120"/>
        <v>9525000</v>
      </c>
      <c r="J235" s="451">
        <f>SUM(I235)/1.27</f>
        <v>7500000</v>
      </c>
      <c r="K235" s="660">
        <f>SUM(J235)*0.27</f>
        <v>2025000</v>
      </c>
      <c r="L235" s="1137">
        <v>9525000</v>
      </c>
      <c r="M235" s="1137"/>
      <c r="N235" s="1347"/>
      <c r="O235" s="1349">
        <f t="shared" si="123"/>
        <v>0</v>
      </c>
      <c r="P235" s="1252"/>
      <c r="Q235" s="1252"/>
      <c r="R235" s="1473"/>
      <c r="S235" s="1350">
        <f t="shared" si="124"/>
        <v>9525000</v>
      </c>
      <c r="T235" s="451">
        <f>SUM(S235)/1.27</f>
        <v>7500000</v>
      </c>
      <c r="U235" s="451">
        <f>SUM(T235)*0.27</f>
        <v>2025000</v>
      </c>
      <c r="V235" s="1351">
        <f t="shared" si="130"/>
        <v>9525000</v>
      </c>
      <c r="W235" s="451">
        <f t="shared" si="131"/>
        <v>0</v>
      </c>
      <c r="X235" s="660">
        <f t="shared" ref="X235:X270" si="132">SUM(N235+R235)</f>
        <v>0</v>
      </c>
      <c r="Y235" s="1352">
        <f t="shared" si="128"/>
        <v>9525000</v>
      </c>
      <c r="Z235" s="1137">
        <v>7500000</v>
      </c>
      <c r="AA235" s="1137">
        <v>2025000</v>
      </c>
      <c r="AB235" s="1348">
        <v>9525000</v>
      </c>
      <c r="AC235" s="1137"/>
      <c r="AD235" s="1347"/>
    </row>
    <row r="236" spans="1:30" s="293" customFormat="1" ht="14.25" customHeight="1">
      <c r="A236" s="1371">
        <v>52003</v>
      </c>
      <c r="B236" s="1377" t="s">
        <v>1068</v>
      </c>
      <c r="C236" s="1379">
        <v>11076000</v>
      </c>
      <c r="D236" s="1379">
        <v>8721000</v>
      </c>
      <c r="E236" s="1379">
        <v>2355000</v>
      </c>
      <c r="F236" s="1379">
        <v>11076000</v>
      </c>
      <c r="G236" s="1379"/>
      <c r="H236" s="1379"/>
      <c r="I236" s="1347">
        <f t="shared" si="120"/>
        <v>11076000</v>
      </c>
      <c r="J236" s="451">
        <v>8721000</v>
      </c>
      <c r="K236" s="660">
        <v>2355000</v>
      </c>
      <c r="L236" s="1137">
        <v>11076000</v>
      </c>
      <c r="M236" s="1137"/>
      <c r="N236" s="1347"/>
      <c r="O236" s="1349">
        <f t="shared" si="123"/>
        <v>0</v>
      </c>
      <c r="P236" s="1252"/>
      <c r="Q236" s="1252"/>
      <c r="R236" s="1473"/>
      <c r="S236" s="1350">
        <f t="shared" si="124"/>
        <v>11076000</v>
      </c>
      <c r="T236" s="451">
        <v>8721000</v>
      </c>
      <c r="U236" s="451">
        <v>2355000</v>
      </c>
      <c r="V236" s="1351">
        <f t="shared" si="130"/>
        <v>11076000</v>
      </c>
      <c r="W236" s="451">
        <f t="shared" si="131"/>
        <v>0</v>
      </c>
      <c r="X236" s="660">
        <f t="shared" si="132"/>
        <v>0</v>
      </c>
      <c r="Y236" s="1352">
        <f t="shared" si="128"/>
        <v>8374964</v>
      </c>
      <c r="Z236" s="1137">
        <v>6594460</v>
      </c>
      <c r="AA236" s="1137">
        <v>1780504</v>
      </c>
      <c r="AB236" s="1348">
        <v>8374964</v>
      </c>
      <c r="AC236" s="1137"/>
      <c r="AD236" s="1347"/>
    </row>
    <row r="237" spans="1:30" s="293" customFormat="1" ht="14.25" customHeight="1">
      <c r="A237" s="1371">
        <v>52018</v>
      </c>
      <c r="B237" s="1377" t="s">
        <v>1069</v>
      </c>
      <c r="C237" s="1379">
        <v>1234000</v>
      </c>
      <c r="D237" s="1379">
        <v>972000</v>
      </c>
      <c r="E237" s="1379">
        <v>262000</v>
      </c>
      <c r="F237" s="1379">
        <v>1234000</v>
      </c>
      <c r="G237" s="1379"/>
      <c r="H237" s="1379"/>
      <c r="I237" s="1347">
        <f t="shared" si="120"/>
        <v>1234000</v>
      </c>
      <c r="J237" s="451">
        <v>972000</v>
      </c>
      <c r="K237" s="660">
        <v>262000</v>
      </c>
      <c r="L237" s="1137">
        <v>1234000</v>
      </c>
      <c r="M237" s="1137"/>
      <c r="N237" s="1347"/>
      <c r="O237" s="1349">
        <f t="shared" si="123"/>
        <v>0</v>
      </c>
      <c r="P237" s="1252"/>
      <c r="Q237" s="1252"/>
      <c r="R237" s="1473"/>
      <c r="S237" s="1350">
        <f t="shared" si="124"/>
        <v>1234000</v>
      </c>
      <c r="T237" s="451">
        <v>972000</v>
      </c>
      <c r="U237" s="451">
        <v>262000</v>
      </c>
      <c r="V237" s="1351">
        <f t="shared" si="130"/>
        <v>1234000</v>
      </c>
      <c r="W237" s="451">
        <f t="shared" si="131"/>
        <v>0</v>
      </c>
      <c r="X237" s="660">
        <f t="shared" si="132"/>
        <v>0</v>
      </c>
      <c r="Y237" s="1352">
        <f t="shared" si="128"/>
        <v>1234694</v>
      </c>
      <c r="Z237" s="1137">
        <v>972200</v>
      </c>
      <c r="AA237" s="1137">
        <v>262494</v>
      </c>
      <c r="AB237" s="1348">
        <v>1234694</v>
      </c>
      <c r="AC237" s="1137"/>
      <c r="AD237" s="1347"/>
    </row>
    <row r="238" spans="1:30" s="293" customFormat="1" ht="14.25" customHeight="1">
      <c r="A238" s="1472">
        <v>52010</v>
      </c>
      <c r="B238" s="1377" t="s">
        <v>1070</v>
      </c>
      <c r="C238" s="1379">
        <v>11700000</v>
      </c>
      <c r="D238" s="1379">
        <v>9212000</v>
      </c>
      <c r="E238" s="1379">
        <v>2488000</v>
      </c>
      <c r="F238" s="1379">
        <v>11700000</v>
      </c>
      <c r="G238" s="1379"/>
      <c r="H238" s="1379"/>
      <c r="I238" s="1347">
        <f t="shared" si="120"/>
        <v>11700000</v>
      </c>
      <c r="J238" s="451">
        <v>9212000</v>
      </c>
      <c r="K238" s="660">
        <v>2488000</v>
      </c>
      <c r="L238" s="1137">
        <v>11700000</v>
      </c>
      <c r="M238" s="1137"/>
      <c r="N238" s="1347"/>
      <c r="O238" s="1349">
        <f t="shared" si="123"/>
        <v>0</v>
      </c>
      <c r="P238" s="1252"/>
      <c r="Q238" s="1252"/>
      <c r="R238" s="1473"/>
      <c r="S238" s="1350">
        <f t="shared" si="124"/>
        <v>11700000</v>
      </c>
      <c r="T238" s="451">
        <v>9212000</v>
      </c>
      <c r="U238" s="660">
        <v>2488000</v>
      </c>
      <c r="V238" s="1351">
        <f t="shared" si="130"/>
        <v>11700000</v>
      </c>
      <c r="W238" s="451">
        <f t="shared" si="131"/>
        <v>0</v>
      </c>
      <c r="X238" s="660">
        <f t="shared" si="132"/>
        <v>0</v>
      </c>
      <c r="Y238" s="1352">
        <f t="shared" si="128"/>
        <v>10705429</v>
      </c>
      <c r="Z238" s="451">
        <v>8217922</v>
      </c>
      <c r="AA238" s="660">
        <v>2487507</v>
      </c>
      <c r="AB238" s="1348">
        <v>10705429</v>
      </c>
      <c r="AC238" s="1137"/>
      <c r="AD238" s="1347"/>
    </row>
    <row r="239" spans="1:30" s="293" customFormat="1" ht="14.25" customHeight="1">
      <c r="A239" s="1371">
        <v>52024</v>
      </c>
      <c r="B239" s="1377" t="s">
        <v>1071</v>
      </c>
      <c r="C239" s="1379">
        <v>20000000</v>
      </c>
      <c r="D239" s="1379">
        <v>15748000</v>
      </c>
      <c r="E239" s="1379">
        <v>4252000</v>
      </c>
      <c r="F239" s="1379">
        <v>20000000</v>
      </c>
      <c r="G239" s="1379"/>
      <c r="H239" s="1379"/>
      <c r="I239" s="1347">
        <f t="shared" si="120"/>
        <v>20000000</v>
      </c>
      <c r="J239" s="451">
        <v>15748000</v>
      </c>
      <c r="K239" s="660">
        <v>4252000</v>
      </c>
      <c r="L239" s="1137">
        <v>20000000</v>
      </c>
      <c r="M239" s="1137"/>
      <c r="N239" s="1347"/>
      <c r="O239" s="1349">
        <f t="shared" si="123"/>
        <v>0</v>
      </c>
      <c r="P239" s="1252"/>
      <c r="Q239" s="1252"/>
      <c r="R239" s="1473"/>
      <c r="S239" s="1350">
        <f t="shared" si="124"/>
        <v>20000000</v>
      </c>
      <c r="T239" s="451">
        <v>15748000</v>
      </c>
      <c r="U239" s="451">
        <v>4252000</v>
      </c>
      <c r="V239" s="1351">
        <f t="shared" si="130"/>
        <v>20000000</v>
      </c>
      <c r="W239" s="451">
        <f t="shared" si="131"/>
        <v>0</v>
      </c>
      <c r="X239" s="660">
        <f t="shared" si="132"/>
        <v>0</v>
      </c>
      <c r="Y239" s="1352">
        <f t="shared" si="128"/>
        <v>19999960</v>
      </c>
      <c r="Z239" s="1137">
        <v>15748000</v>
      </c>
      <c r="AA239" s="1137">
        <v>4251960</v>
      </c>
      <c r="AB239" s="1348">
        <v>19999960</v>
      </c>
      <c r="AC239" s="1137"/>
      <c r="AD239" s="1347"/>
    </row>
    <row r="240" spans="1:30" s="293" customFormat="1" ht="14.25" customHeight="1">
      <c r="A240" s="1371">
        <v>46003</v>
      </c>
      <c r="B240" s="1377" t="s">
        <v>1072</v>
      </c>
      <c r="C240" s="1379">
        <v>9827000</v>
      </c>
      <c r="D240" s="1379">
        <v>7738000</v>
      </c>
      <c r="E240" s="1379">
        <v>2089000</v>
      </c>
      <c r="F240" s="1379">
        <v>9827000</v>
      </c>
      <c r="G240" s="1379"/>
      <c r="H240" s="1379"/>
      <c r="I240" s="1347">
        <f t="shared" si="120"/>
        <v>9827000</v>
      </c>
      <c r="J240" s="451">
        <v>7738000</v>
      </c>
      <c r="K240" s="660">
        <v>2089000</v>
      </c>
      <c r="L240" s="1137">
        <v>9827000</v>
      </c>
      <c r="M240" s="1137"/>
      <c r="N240" s="1347"/>
      <c r="O240" s="1349">
        <f t="shared" si="123"/>
        <v>0</v>
      </c>
      <c r="P240" s="1252"/>
      <c r="Q240" s="1252"/>
      <c r="R240" s="1473"/>
      <c r="S240" s="1350">
        <f t="shared" si="124"/>
        <v>9827000</v>
      </c>
      <c r="T240" s="451">
        <v>7738000</v>
      </c>
      <c r="U240" s="451">
        <v>2089000</v>
      </c>
      <c r="V240" s="1351">
        <f t="shared" si="130"/>
        <v>9827000</v>
      </c>
      <c r="W240" s="451">
        <f t="shared" si="131"/>
        <v>0</v>
      </c>
      <c r="X240" s="660">
        <f t="shared" si="132"/>
        <v>0</v>
      </c>
      <c r="Y240" s="1352">
        <f t="shared" si="128"/>
        <v>9815902</v>
      </c>
      <c r="Z240" s="1137">
        <v>7729059</v>
      </c>
      <c r="AA240" s="1137">
        <v>2086843</v>
      </c>
      <c r="AB240" s="1348">
        <v>9815902</v>
      </c>
      <c r="AC240" s="1137"/>
      <c r="AD240" s="1347"/>
    </row>
    <row r="241" spans="1:30" s="293" customFormat="1" ht="14.25" customHeight="1">
      <c r="A241" s="1371">
        <v>62013</v>
      </c>
      <c r="B241" s="1377" t="s">
        <v>1073</v>
      </c>
      <c r="C241" s="1379">
        <v>15240000</v>
      </c>
      <c r="D241" s="1379">
        <v>12000000</v>
      </c>
      <c r="E241" s="1379">
        <v>3240000</v>
      </c>
      <c r="F241" s="1379">
        <v>15240000</v>
      </c>
      <c r="G241" s="1379"/>
      <c r="H241" s="1379"/>
      <c r="I241" s="1347">
        <f t="shared" si="120"/>
        <v>0</v>
      </c>
      <c r="J241" s="451">
        <f>SUM(I241)/1.27</f>
        <v>0</v>
      </c>
      <c r="K241" s="660">
        <f>SUM(J241)*0.27</f>
        <v>0</v>
      </c>
      <c r="L241" s="1137">
        <v>0</v>
      </c>
      <c r="M241" s="1137"/>
      <c r="N241" s="1347"/>
      <c r="O241" s="1349">
        <f t="shared" si="123"/>
        <v>0</v>
      </c>
      <c r="P241" s="1252"/>
      <c r="Q241" s="1252"/>
      <c r="R241" s="1473"/>
      <c r="S241" s="1350">
        <f t="shared" si="124"/>
        <v>0</v>
      </c>
      <c r="T241" s="451">
        <f>SUM(S241)/1.27</f>
        <v>0</v>
      </c>
      <c r="U241" s="451">
        <f>SUM(T241)*0.27</f>
        <v>0</v>
      </c>
      <c r="V241" s="1351">
        <f t="shared" si="130"/>
        <v>0</v>
      </c>
      <c r="W241" s="451">
        <f t="shared" si="131"/>
        <v>0</v>
      </c>
      <c r="X241" s="660">
        <f t="shared" si="132"/>
        <v>0</v>
      </c>
      <c r="Y241" s="1352">
        <f t="shared" si="128"/>
        <v>0</v>
      </c>
      <c r="Z241" s="1137"/>
      <c r="AA241" s="1137"/>
      <c r="AB241" s="1348"/>
      <c r="AC241" s="1137"/>
      <c r="AD241" s="1347"/>
    </row>
    <row r="242" spans="1:30" s="293" customFormat="1" ht="14.25" customHeight="1">
      <c r="A242" s="1371">
        <v>62014</v>
      </c>
      <c r="B242" s="1377" t="s">
        <v>1074</v>
      </c>
      <c r="C242" s="1379">
        <v>18923000</v>
      </c>
      <c r="D242" s="1379">
        <v>14900000</v>
      </c>
      <c r="E242" s="1379">
        <v>4023000</v>
      </c>
      <c r="F242" s="1379">
        <v>18923000</v>
      </c>
      <c r="G242" s="1379"/>
      <c r="H242" s="1379"/>
      <c r="I242" s="1347">
        <f t="shared" si="120"/>
        <v>0</v>
      </c>
      <c r="J242" s="451">
        <f>SUM(I242)/1.27</f>
        <v>0</v>
      </c>
      <c r="K242" s="660">
        <f>SUM(J242)*0.27</f>
        <v>0</v>
      </c>
      <c r="L242" s="1137">
        <v>0</v>
      </c>
      <c r="M242" s="1137"/>
      <c r="N242" s="1347"/>
      <c r="O242" s="1349">
        <f t="shared" si="123"/>
        <v>0</v>
      </c>
      <c r="P242" s="1252"/>
      <c r="Q242" s="1252"/>
      <c r="R242" s="1473"/>
      <c r="S242" s="1350">
        <f t="shared" si="124"/>
        <v>0</v>
      </c>
      <c r="T242" s="451">
        <f>SUM(S242)/1.27</f>
        <v>0</v>
      </c>
      <c r="U242" s="451">
        <f>SUM(T242)*0.27</f>
        <v>0</v>
      </c>
      <c r="V242" s="1351">
        <f t="shared" si="130"/>
        <v>0</v>
      </c>
      <c r="W242" s="451">
        <f t="shared" si="131"/>
        <v>0</v>
      </c>
      <c r="X242" s="660">
        <f t="shared" si="132"/>
        <v>0</v>
      </c>
      <c r="Y242" s="1352">
        <f t="shared" si="128"/>
        <v>0</v>
      </c>
      <c r="Z242" s="1137"/>
      <c r="AA242" s="1137"/>
      <c r="AB242" s="1348"/>
      <c r="AC242" s="1137"/>
      <c r="AD242" s="1347"/>
    </row>
    <row r="243" spans="1:30" s="293" customFormat="1" ht="14.25" customHeight="1">
      <c r="A243" s="1472">
        <v>62015</v>
      </c>
      <c r="B243" s="1377" t="s">
        <v>1075</v>
      </c>
      <c r="C243" s="1379">
        <v>0</v>
      </c>
      <c r="D243" s="1379">
        <v>0</v>
      </c>
      <c r="E243" s="1379">
        <v>0</v>
      </c>
      <c r="F243" s="1379"/>
      <c r="G243" s="1379"/>
      <c r="H243" s="1379"/>
      <c r="I243" s="1347">
        <f t="shared" si="120"/>
        <v>12887000</v>
      </c>
      <c r="J243" s="451">
        <v>10147000</v>
      </c>
      <c r="K243" s="660">
        <v>2740000</v>
      </c>
      <c r="L243" s="1137">
        <v>12887000</v>
      </c>
      <c r="M243" s="1137"/>
      <c r="N243" s="1347"/>
      <c r="O243" s="1349">
        <f t="shared" si="123"/>
        <v>0</v>
      </c>
      <c r="P243" s="1252"/>
      <c r="Q243" s="1252"/>
      <c r="R243" s="1473"/>
      <c r="S243" s="1350">
        <f t="shared" si="124"/>
        <v>8845364</v>
      </c>
      <c r="T243" s="451">
        <v>6964853</v>
      </c>
      <c r="U243" s="451">
        <v>1880511</v>
      </c>
      <c r="V243" s="1351">
        <v>8845364</v>
      </c>
      <c r="W243" s="451">
        <f t="shared" si="131"/>
        <v>0</v>
      </c>
      <c r="X243" s="660">
        <f t="shared" si="132"/>
        <v>0</v>
      </c>
      <c r="Y243" s="1352">
        <f t="shared" si="128"/>
        <v>8845364</v>
      </c>
      <c r="Z243" s="1137">
        <v>6964853</v>
      </c>
      <c r="AA243" s="1137">
        <v>1880511</v>
      </c>
      <c r="AB243" s="1348">
        <v>8845364</v>
      </c>
      <c r="AC243" s="1137"/>
      <c r="AD243" s="1347"/>
    </row>
    <row r="244" spans="1:30" s="293" customFormat="1" ht="14.25" customHeight="1">
      <c r="A244" s="1371">
        <v>62016</v>
      </c>
      <c r="B244" s="1377" t="s">
        <v>1076</v>
      </c>
      <c r="C244" s="1379">
        <v>0</v>
      </c>
      <c r="D244" s="1379">
        <v>0</v>
      </c>
      <c r="E244" s="1379">
        <v>0</v>
      </c>
      <c r="F244" s="1379"/>
      <c r="G244" s="1379"/>
      <c r="H244" s="1379"/>
      <c r="I244" s="1347">
        <f t="shared" si="120"/>
        <v>35560000</v>
      </c>
      <c r="J244" s="451">
        <f t="shared" ref="J244:J269" si="133">SUM(I244)/1.27</f>
        <v>28000000</v>
      </c>
      <c r="K244" s="660">
        <f t="shared" ref="K244:K269" si="134">SUM(J244)*0.27</f>
        <v>7560000</v>
      </c>
      <c r="L244" s="1137">
        <v>35560000</v>
      </c>
      <c r="M244" s="1137"/>
      <c r="N244" s="1347"/>
      <c r="O244" s="1349">
        <f t="shared" si="123"/>
        <v>0</v>
      </c>
      <c r="P244" s="1252"/>
      <c r="Q244" s="1252"/>
      <c r="R244" s="1473"/>
      <c r="S244" s="1350">
        <f t="shared" si="124"/>
        <v>34244034</v>
      </c>
      <c r="T244" s="451">
        <f t="shared" ref="T244:T269" si="135">SUM(S244)/1.27</f>
        <v>26963806</v>
      </c>
      <c r="U244" s="451">
        <f t="shared" ref="U244:U269" si="136">SUM(T244)*0.27</f>
        <v>7280228</v>
      </c>
      <c r="V244" s="1351">
        <v>34244034</v>
      </c>
      <c r="W244" s="451">
        <f t="shared" si="131"/>
        <v>0</v>
      </c>
      <c r="X244" s="660">
        <f t="shared" si="132"/>
        <v>0</v>
      </c>
      <c r="Y244" s="1352">
        <f t="shared" si="128"/>
        <v>34244034</v>
      </c>
      <c r="Z244" s="1137">
        <v>26963806</v>
      </c>
      <c r="AA244" s="1137">
        <v>7280228</v>
      </c>
      <c r="AB244" s="1348">
        <v>34244034</v>
      </c>
      <c r="AC244" s="1137"/>
      <c r="AD244" s="1347"/>
    </row>
    <row r="245" spans="1:30" s="293" customFormat="1" ht="15" customHeight="1">
      <c r="A245" s="1371">
        <v>62017</v>
      </c>
      <c r="B245" s="1377" t="s">
        <v>1077</v>
      </c>
      <c r="C245" s="1379">
        <v>0</v>
      </c>
      <c r="D245" s="1379">
        <v>0</v>
      </c>
      <c r="E245" s="1379">
        <v>0</v>
      </c>
      <c r="F245" s="1379"/>
      <c r="G245" s="1379"/>
      <c r="H245" s="1379"/>
      <c r="I245" s="1347">
        <f t="shared" si="120"/>
        <v>12700000</v>
      </c>
      <c r="J245" s="451">
        <f t="shared" si="133"/>
        <v>10000000</v>
      </c>
      <c r="K245" s="660">
        <f t="shared" si="134"/>
        <v>2700000</v>
      </c>
      <c r="L245" s="1137">
        <v>12700000</v>
      </c>
      <c r="M245" s="1137"/>
      <c r="N245" s="1347"/>
      <c r="O245" s="1349">
        <f t="shared" si="123"/>
        <v>0</v>
      </c>
      <c r="P245" s="1252"/>
      <c r="Q245" s="1252"/>
      <c r="R245" s="1473"/>
      <c r="S245" s="1350">
        <f t="shared" si="124"/>
        <v>12700000</v>
      </c>
      <c r="T245" s="451">
        <f t="shared" si="135"/>
        <v>10000000</v>
      </c>
      <c r="U245" s="451">
        <f t="shared" si="136"/>
        <v>2700000</v>
      </c>
      <c r="V245" s="1351">
        <f>SUM(L245+P245)</f>
        <v>12700000</v>
      </c>
      <c r="W245" s="451">
        <f t="shared" si="131"/>
        <v>0</v>
      </c>
      <c r="X245" s="660">
        <f t="shared" si="132"/>
        <v>0</v>
      </c>
      <c r="Y245" s="1352">
        <f t="shared" si="128"/>
        <v>12700000</v>
      </c>
      <c r="Z245" s="1137">
        <v>10000000</v>
      </c>
      <c r="AA245" s="1137">
        <v>2700000</v>
      </c>
      <c r="AB245" s="1348">
        <v>12700000</v>
      </c>
      <c r="AC245" s="1137"/>
      <c r="AD245" s="1347"/>
    </row>
    <row r="246" spans="1:30" s="293" customFormat="1" ht="12.75" customHeight="1">
      <c r="A246" s="1472">
        <v>62018</v>
      </c>
      <c r="B246" s="1377" t="s">
        <v>1078</v>
      </c>
      <c r="C246" s="1379">
        <v>0</v>
      </c>
      <c r="D246" s="1379">
        <v>0</v>
      </c>
      <c r="E246" s="1379">
        <v>0</v>
      </c>
      <c r="F246" s="1379"/>
      <c r="G246" s="1379"/>
      <c r="H246" s="1379"/>
      <c r="I246" s="1347">
        <f t="shared" si="120"/>
        <v>6350000</v>
      </c>
      <c r="J246" s="451">
        <f t="shared" si="133"/>
        <v>5000000</v>
      </c>
      <c r="K246" s="660">
        <f t="shared" si="134"/>
        <v>1350000</v>
      </c>
      <c r="L246" s="1137">
        <v>6350000</v>
      </c>
      <c r="M246" s="1137"/>
      <c r="N246" s="1347"/>
      <c r="O246" s="1349">
        <f t="shared" si="123"/>
        <v>0</v>
      </c>
      <c r="P246" s="1252"/>
      <c r="Q246" s="1252"/>
      <c r="R246" s="1473"/>
      <c r="S246" s="1350">
        <f t="shared" si="124"/>
        <v>6350000</v>
      </c>
      <c r="T246" s="451">
        <f t="shared" si="135"/>
        <v>5000000</v>
      </c>
      <c r="U246" s="451">
        <f t="shared" si="136"/>
        <v>1350000</v>
      </c>
      <c r="V246" s="1351">
        <f>SUM(L246+P246)</f>
        <v>6350000</v>
      </c>
      <c r="W246" s="451">
        <f t="shared" si="131"/>
        <v>0</v>
      </c>
      <c r="X246" s="660">
        <f t="shared" si="132"/>
        <v>0</v>
      </c>
      <c r="Y246" s="1352">
        <f t="shared" si="128"/>
        <v>6350000</v>
      </c>
      <c r="Z246" s="1137">
        <v>5000000</v>
      </c>
      <c r="AA246" s="1137">
        <v>1350000</v>
      </c>
      <c r="AB246" s="1348">
        <v>6350000</v>
      </c>
      <c r="AC246" s="1137"/>
      <c r="AD246" s="1347"/>
    </row>
    <row r="247" spans="1:30" s="293" customFormat="1" ht="15" customHeight="1">
      <c r="A247" s="1385"/>
      <c r="B247" s="1474" t="s">
        <v>1079</v>
      </c>
      <c r="C247" s="1379"/>
      <c r="D247" s="1379"/>
      <c r="E247" s="1379"/>
      <c r="F247" s="1379"/>
      <c r="G247" s="1379"/>
      <c r="H247" s="1379"/>
      <c r="I247" s="1347">
        <f t="shared" si="120"/>
        <v>0</v>
      </c>
      <c r="J247" s="451">
        <f t="shared" si="133"/>
        <v>0</v>
      </c>
      <c r="K247" s="660">
        <f t="shared" si="134"/>
        <v>0</v>
      </c>
      <c r="L247" s="1137"/>
      <c r="M247" s="1137"/>
      <c r="N247" s="1347"/>
      <c r="O247" s="1349">
        <f t="shared" si="123"/>
        <v>0</v>
      </c>
      <c r="P247" s="1252"/>
      <c r="Q247" s="1252"/>
      <c r="R247" s="1473"/>
      <c r="S247" s="1350">
        <f t="shared" si="124"/>
        <v>8500000</v>
      </c>
      <c r="T247" s="451">
        <f t="shared" si="135"/>
        <v>6692913</v>
      </c>
      <c r="U247" s="451">
        <f t="shared" si="136"/>
        <v>1807087</v>
      </c>
      <c r="V247" s="1351">
        <v>8500000</v>
      </c>
      <c r="W247" s="451">
        <f t="shared" si="131"/>
        <v>0</v>
      </c>
      <c r="X247" s="660">
        <f t="shared" si="132"/>
        <v>0</v>
      </c>
      <c r="Y247" s="1352">
        <f t="shared" si="128"/>
        <v>0</v>
      </c>
      <c r="Z247" s="1137"/>
      <c r="AA247" s="1137"/>
      <c r="AB247" s="1348"/>
      <c r="AC247" s="1137"/>
      <c r="AD247" s="1347"/>
    </row>
    <row r="248" spans="1:30" s="293" customFormat="1" ht="15" hidden="1" customHeight="1">
      <c r="A248" s="1385"/>
      <c r="B248" s="1377"/>
      <c r="C248" s="1379"/>
      <c r="D248" s="1379"/>
      <c r="E248" s="1379"/>
      <c r="F248" s="1379"/>
      <c r="G248" s="1379"/>
      <c r="H248" s="1379"/>
      <c r="I248" s="1347">
        <f t="shared" si="120"/>
        <v>0</v>
      </c>
      <c r="J248" s="451">
        <f t="shared" si="133"/>
        <v>0</v>
      </c>
      <c r="K248" s="660">
        <f t="shared" si="134"/>
        <v>0</v>
      </c>
      <c r="L248" s="1137"/>
      <c r="M248" s="1137"/>
      <c r="N248" s="1347"/>
      <c r="O248" s="1349">
        <f t="shared" si="123"/>
        <v>0</v>
      </c>
      <c r="P248" s="1252"/>
      <c r="Q248" s="1252"/>
      <c r="R248" s="1473"/>
      <c r="S248" s="1350">
        <f t="shared" si="124"/>
        <v>0</v>
      </c>
      <c r="T248" s="451">
        <f t="shared" si="135"/>
        <v>0</v>
      </c>
      <c r="U248" s="451">
        <f t="shared" si="136"/>
        <v>0</v>
      </c>
      <c r="V248" s="1351">
        <f t="shared" ref="V248:V269" si="137">SUM(L248+P248)</f>
        <v>0</v>
      </c>
      <c r="W248" s="451">
        <f t="shared" si="131"/>
        <v>0</v>
      </c>
      <c r="X248" s="660">
        <f t="shared" si="132"/>
        <v>0</v>
      </c>
      <c r="Y248" s="1352">
        <f t="shared" si="128"/>
        <v>0</v>
      </c>
      <c r="Z248" s="1137"/>
      <c r="AA248" s="1137"/>
      <c r="AB248" s="1348"/>
      <c r="AC248" s="1137"/>
      <c r="AD248" s="1347"/>
    </row>
    <row r="249" spans="1:30" s="293" customFormat="1" ht="15" hidden="1" customHeight="1">
      <c r="A249" s="1385"/>
      <c r="B249" s="1377"/>
      <c r="C249" s="1379"/>
      <c r="D249" s="1379"/>
      <c r="E249" s="1379"/>
      <c r="F249" s="1379"/>
      <c r="G249" s="1379"/>
      <c r="H249" s="1379"/>
      <c r="I249" s="1347">
        <f t="shared" si="120"/>
        <v>0</v>
      </c>
      <c r="J249" s="451">
        <f t="shared" si="133"/>
        <v>0</v>
      </c>
      <c r="K249" s="660">
        <f t="shared" si="134"/>
        <v>0</v>
      </c>
      <c r="L249" s="1137"/>
      <c r="M249" s="1137"/>
      <c r="N249" s="1347"/>
      <c r="O249" s="1349">
        <f t="shared" si="123"/>
        <v>0</v>
      </c>
      <c r="P249" s="1252"/>
      <c r="Q249" s="1252"/>
      <c r="R249" s="1473"/>
      <c r="S249" s="1350">
        <f t="shared" si="124"/>
        <v>0</v>
      </c>
      <c r="T249" s="451">
        <f t="shared" si="135"/>
        <v>0</v>
      </c>
      <c r="U249" s="451">
        <f t="shared" si="136"/>
        <v>0</v>
      </c>
      <c r="V249" s="1351">
        <f t="shared" si="137"/>
        <v>0</v>
      </c>
      <c r="W249" s="451">
        <f t="shared" si="131"/>
        <v>0</v>
      </c>
      <c r="X249" s="660">
        <f t="shared" si="132"/>
        <v>0</v>
      </c>
      <c r="Y249" s="1352">
        <f t="shared" si="128"/>
        <v>0</v>
      </c>
      <c r="Z249" s="1137"/>
      <c r="AA249" s="1137"/>
      <c r="AB249" s="1348"/>
      <c r="AC249" s="1137"/>
      <c r="AD249" s="1347"/>
    </row>
    <row r="250" spans="1:30" s="293" customFormat="1" ht="15" hidden="1" customHeight="1">
      <c r="A250" s="1385"/>
      <c r="B250" s="1377"/>
      <c r="C250" s="1379"/>
      <c r="D250" s="1379"/>
      <c r="E250" s="1379"/>
      <c r="F250" s="1379"/>
      <c r="G250" s="1379"/>
      <c r="H250" s="1379"/>
      <c r="I250" s="1347">
        <f t="shared" si="120"/>
        <v>0</v>
      </c>
      <c r="J250" s="1137">
        <f t="shared" si="133"/>
        <v>0</v>
      </c>
      <c r="K250" s="1347">
        <f t="shared" si="134"/>
        <v>0</v>
      </c>
      <c r="L250" s="1137"/>
      <c r="M250" s="1137"/>
      <c r="N250" s="1347"/>
      <c r="O250" s="1349">
        <f t="shared" si="123"/>
        <v>0</v>
      </c>
      <c r="P250" s="1252"/>
      <c r="Q250" s="1252"/>
      <c r="R250" s="1473"/>
      <c r="S250" s="1350">
        <f t="shared" si="124"/>
        <v>0</v>
      </c>
      <c r="T250" s="451">
        <f t="shared" si="135"/>
        <v>0</v>
      </c>
      <c r="U250" s="451">
        <f t="shared" si="136"/>
        <v>0</v>
      </c>
      <c r="V250" s="1351">
        <f t="shared" si="137"/>
        <v>0</v>
      </c>
      <c r="W250" s="451">
        <f t="shared" si="131"/>
        <v>0</v>
      </c>
      <c r="X250" s="660">
        <f t="shared" si="132"/>
        <v>0</v>
      </c>
      <c r="Y250" s="1352">
        <f t="shared" si="128"/>
        <v>0</v>
      </c>
      <c r="Z250" s="1137"/>
      <c r="AA250" s="1137"/>
      <c r="AB250" s="1348"/>
      <c r="AC250" s="1137"/>
      <c r="AD250" s="1347"/>
    </row>
    <row r="251" spans="1:30" s="293" customFormat="1" ht="12.75" hidden="1" customHeight="1">
      <c r="A251" s="1385"/>
      <c r="B251" s="1377"/>
      <c r="C251" s="1379"/>
      <c r="D251" s="1379"/>
      <c r="E251" s="1379"/>
      <c r="F251" s="1379"/>
      <c r="G251" s="1379"/>
      <c r="H251" s="1379"/>
      <c r="I251" s="1347">
        <f t="shared" si="120"/>
        <v>0</v>
      </c>
      <c r="J251" s="1137">
        <f t="shared" si="133"/>
        <v>0</v>
      </c>
      <c r="K251" s="1347">
        <f t="shared" si="134"/>
        <v>0</v>
      </c>
      <c r="L251" s="1137"/>
      <c r="M251" s="1137"/>
      <c r="N251" s="1347"/>
      <c r="O251" s="1349">
        <f t="shared" si="123"/>
        <v>0</v>
      </c>
      <c r="P251" s="1252"/>
      <c r="Q251" s="1252"/>
      <c r="R251" s="1473"/>
      <c r="S251" s="1350">
        <f t="shared" si="124"/>
        <v>0</v>
      </c>
      <c r="T251" s="451">
        <f t="shared" si="135"/>
        <v>0</v>
      </c>
      <c r="U251" s="451">
        <f t="shared" si="136"/>
        <v>0</v>
      </c>
      <c r="V251" s="1351">
        <f t="shared" si="137"/>
        <v>0</v>
      </c>
      <c r="W251" s="451">
        <f t="shared" si="131"/>
        <v>0</v>
      </c>
      <c r="X251" s="660">
        <f t="shared" si="132"/>
        <v>0</v>
      </c>
      <c r="Y251" s="1352">
        <f t="shared" si="128"/>
        <v>0</v>
      </c>
      <c r="Z251" s="1137"/>
      <c r="AA251" s="1137"/>
      <c r="AB251" s="1348"/>
      <c r="AC251" s="1137"/>
      <c r="AD251" s="1347"/>
    </row>
    <row r="252" spans="1:30" s="293" customFormat="1" ht="14.25" hidden="1" customHeight="1">
      <c r="A252" s="1385"/>
      <c r="B252" s="1377"/>
      <c r="C252" s="1379"/>
      <c r="D252" s="1379"/>
      <c r="E252" s="1379"/>
      <c r="F252" s="1379"/>
      <c r="G252" s="1379"/>
      <c r="H252" s="1379"/>
      <c r="I252" s="1347">
        <f t="shared" si="120"/>
        <v>0</v>
      </c>
      <c r="J252" s="1137">
        <f t="shared" si="133"/>
        <v>0</v>
      </c>
      <c r="K252" s="1347">
        <f t="shared" si="134"/>
        <v>0</v>
      </c>
      <c r="L252" s="1137"/>
      <c r="M252" s="1137"/>
      <c r="N252" s="1347"/>
      <c r="O252" s="1349">
        <f t="shared" si="123"/>
        <v>0</v>
      </c>
      <c r="P252" s="1252"/>
      <c r="Q252" s="1252"/>
      <c r="R252" s="1473"/>
      <c r="S252" s="1350">
        <f t="shared" si="124"/>
        <v>0</v>
      </c>
      <c r="T252" s="451">
        <f t="shared" si="135"/>
        <v>0</v>
      </c>
      <c r="U252" s="451">
        <f t="shared" si="136"/>
        <v>0</v>
      </c>
      <c r="V252" s="1351">
        <f t="shared" si="137"/>
        <v>0</v>
      </c>
      <c r="W252" s="451">
        <f t="shared" si="131"/>
        <v>0</v>
      </c>
      <c r="X252" s="660">
        <f t="shared" si="132"/>
        <v>0</v>
      </c>
      <c r="Y252" s="1352">
        <f t="shared" si="128"/>
        <v>0</v>
      </c>
      <c r="Z252" s="1137"/>
      <c r="AA252" s="1137"/>
      <c r="AB252" s="1348"/>
      <c r="AC252" s="1137"/>
      <c r="AD252" s="1347"/>
    </row>
    <row r="253" spans="1:30" s="293" customFormat="1" ht="14.25" hidden="1" customHeight="1">
      <c r="A253" s="1385"/>
      <c r="B253" s="1377"/>
      <c r="C253" s="1379"/>
      <c r="D253" s="1379"/>
      <c r="E253" s="1379"/>
      <c r="F253" s="1379"/>
      <c r="G253" s="1379"/>
      <c r="H253" s="1379"/>
      <c r="I253" s="1352">
        <f t="shared" ref="I253:I268" si="138">SUM(L253:P253)</f>
        <v>0</v>
      </c>
      <c r="J253" s="1137">
        <f t="shared" si="133"/>
        <v>0</v>
      </c>
      <c r="K253" s="1347">
        <f t="shared" si="134"/>
        <v>0</v>
      </c>
      <c r="L253" s="1137"/>
      <c r="M253" s="1137"/>
      <c r="N253" s="1347"/>
      <c r="O253" s="1349">
        <f t="shared" si="123"/>
        <v>0</v>
      </c>
      <c r="P253" s="1252"/>
      <c r="Q253" s="1252"/>
      <c r="R253" s="1473"/>
      <c r="S253" s="1350">
        <f t="shared" si="124"/>
        <v>0</v>
      </c>
      <c r="T253" s="451">
        <f t="shared" si="135"/>
        <v>0</v>
      </c>
      <c r="U253" s="451">
        <f t="shared" si="136"/>
        <v>0</v>
      </c>
      <c r="V253" s="1351">
        <f t="shared" si="137"/>
        <v>0</v>
      </c>
      <c r="W253" s="451">
        <f t="shared" si="131"/>
        <v>0</v>
      </c>
      <c r="X253" s="660">
        <f t="shared" si="132"/>
        <v>0</v>
      </c>
      <c r="Y253" s="1352">
        <f t="shared" si="128"/>
        <v>0</v>
      </c>
      <c r="Z253" s="1137"/>
      <c r="AA253" s="1137"/>
      <c r="AB253" s="1348"/>
      <c r="AC253" s="1137"/>
      <c r="AD253" s="1347"/>
    </row>
    <row r="254" spans="1:30" s="293" customFormat="1" ht="14.25" hidden="1" customHeight="1">
      <c r="A254" s="1385"/>
      <c r="B254" s="1377"/>
      <c r="C254" s="1379"/>
      <c r="D254" s="1379"/>
      <c r="E254" s="1379"/>
      <c r="F254" s="1379"/>
      <c r="G254" s="1379"/>
      <c r="H254" s="1379"/>
      <c r="I254" s="1352">
        <f t="shared" si="138"/>
        <v>0</v>
      </c>
      <c r="J254" s="1137">
        <f t="shared" si="133"/>
        <v>0</v>
      </c>
      <c r="K254" s="1347">
        <f t="shared" si="134"/>
        <v>0</v>
      </c>
      <c r="L254" s="1137"/>
      <c r="M254" s="1137"/>
      <c r="N254" s="1347"/>
      <c r="O254" s="1349">
        <f t="shared" si="123"/>
        <v>0</v>
      </c>
      <c r="P254" s="1252"/>
      <c r="Q254" s="1252"/>
      <c r="R254" s="1473"/>
      <c r="S254" s="1350">
        <f t="shared" si="124"/>
        <v>0</v>
      </c>
      <c r="T254" s="451">
        <f t="shared" si="135"/>
        <v>0</v>
      </c>
      <c r="U254" s="451">
        <f t="shared" si="136"/>
        <v>0</v>
      </c>
      <c r="V254" s="1351">
        <f t="shared" si="137"/>
        <v>0</v>
      </c>
      <c r="W254" s="451">
        <f t="shared" si="131"/>
        <v>0</v>
      </c>
      <c r="X254" s="660">
        <f t="shared" si="132"/>
        <v>0</v>
      </c>
      <c r="Y254" s="1352">
        <f t="shared" si="128"/>
        <v>0</v>
      </c>
      <c r="Z254" s="1137"/>
      <c r="AA254" s="1137"/>
      <c r="AB254" s="1348"/>
      <c r="AC254" s="1137"/>
      <c r="AD254" s="1347"/>
    </row>
    <row r="255" spans="1:30" s="293" customFormat="1" ht="14.25" hidden="1" customHeight="1">
      <c r="A255" s="1385"/>
      <c r="B255" s="1377"/>
      <c r="C255" s="1379"/>
      <c r="D255" s="1379"/>
      <c r="E255" s="1379"/>
      <c r="F255" s="1379"/>
      <c r="G255" s="1379"/>
      <c r="H255" s="1379"/>
      <c r="I255" s="1352">
        <f t="shared" si="138"/>
        <v>0</v>
      </c>
      <c r="J255" s="1137">
        <f t="shared" si="133"/>
        <v>0</v>
      </c>
      <c r="K255" s="1347">
        <f t="shared" si="134"/>
        <v>0</v>
      </c>
      <c r="L255" s="1137"/>
      <c r="M255" s="1137"/>
      <c r="N255" s="1347"/>
      <c r="O255" s="1349">
        <f t="shared" si="123"/>
        <v>0</v>
      </c>
      <c r="P255" s="1252"/>
      <c r="Q255" s="1252"/>
      <c r="R255" s="1473"/>
      <c r="S255" s="1350">
        <f t="shared" si="124"/>
        <v>0</v>
      </c>
      <c r="T255" s="451">
        <f t="shared" si="135"/>
        <v>0</v>
      </c>
      <c r="U255" s="451">
        <f t="shared" si="136"/>
        <v>0</v>
      </c>
      <c r="V255" s="1351">
        <f t="shared" si="137"/>
        <v>0</v>
      </c>
      <c r="W255" s="451">
        <f t="shared" si="131"/>
        <v>0</v>
      </c>
      <c r="X255" s="660">
        <f t="shared" si="132"/>
        <v>0</v>
      </c>
      <c r="Y255" s="1352">
        <f t="shared" si="128"/>
        <v>0</v>
      </c>
      <c r="Z255" s="1137"/>
      <c r="AA255" s="1137"/>
      <c r="AB255" s="1348"/>
      <c r="AC255" s="1137"/>
      <c r="AD255" s="1347"/>
    </row>
    <row r="256" spans="1:30" s="293" customFormat="1" ht="17.25" hidden="1" customHeight="1">
      <c r="A256" s="1385"/>
      <c r="B256" s="1377"/>
      <c r="C256" s="1379"/>
      <c r="D256" s="1379"/>
      <c r="E256" s="1379"/>
      <c r="F256" s="1379"/>
      <c r="G256" s="1379"/>
      <c r="H256" s="1379"/>
      <c r="I256" s="1352">
        <f t="shared" si="138"/>
        <v>0</v>
      </c>
      <c r="J256" s="1137">
        <f t="shared" si="133"/>
        <v>0</v>
      </c>
      <c r="K256" s="1347">
        <f t="shared" si="134"/>
        <v>0</v>
      </c>
      <c r="L256" s="1137"/>
      <c r="M256" s="1137"/>
      <c r="N256" s="1347"/>
      <c r="O256" s="1349">
        <f t="shared" si="123"/>
        <v>0</v>
      </c>
      <c r="P256" s="1252"/>
      <c r="Q256" s="1252"/>
      <c r="R256" s="1473"/>
      <c r="S256" s="1350">
        <f t="shared" si="124"/>
        <v>0</v>
      </c>
      <c r="T256" s="451">
        <f t="shared" si="135"/>
        <v>0</v>
      </c>
      <c r="U256" s="451">
        <f t="shared" si="136"/>
        <v>0</v>
      </c>
      <c r="V256" s="1351">
        <f t="shared" si="137"/>
        <v>0</v>
      </c>
      <c r="W256" s="451">
        <f t="shared" si="131"/>
        <v>0</v>
      </c>
      <c r="X256" s="660">
        <f t="shared" si="132"/>
        <v>0</v>
      </c>
      <c r="Y256" s="1352">
        <f t="shared" si="128"/>
        <v>0</v>
      </c>
      <c r="Z256" s="1137"/>
      <c r="AA256" s="1137"/>
      <c r="AB256" s="1348"/>
      <c r="AC256" s="1137"/>
      <c r="AD256" s="1347"/>
    </row>
    <row r="257" spans="1:30" s="293" customFormat="1" ht="14.25" hidden="1" customHeight="1">
      <c r="A257" s="1385"/>
      <c r="B257" s="1377"/>
      <c r="C257" s="1379"/>
      <c r="D257" s="1379"/>
      <c r="E257" s="1379"/>
      <c r="F257" s="1379"/>
      <c r="G257" s="1379"/>
      <c r="H257" s="1379"/>
      <c r="I257" s="1352">
        <f t="shared" si="138"/>
        <v>0</v>
      </c>
      <c r="J257" s="1137">
        <f t="shared" si="133"/>
        <v>0</v>
      </c>
      <c r="K257" s="1347">
        <f t="shared" si="134"/>
        <v>0</v>
      </c>
      <c r="L257" s="1137"/>
      <c r="M257" s="1137"/>
      <c r="N257" s="1347"/>
      <c r="O257" s="1349">
        <f t="shared" si="123"/>
        <v>0</v>
      </c>
      <c r="P257" s="1252"/>
      <c r="Q257" s="1252"/>
      <c r="R257" s="1473"/>
      <c r="S257" s="1350">
        <f t="shared" si="124"/>
        <v>0</v>
      </c>
      <c r="T257" s="451">
        <f t="shared" si="135"/>
        <v>0</v>
      </c>
      <c r="U257" s="451">
        <f t="shared" si="136"/>
        <v>0</v>
      </c>
      <c r="V257" s="1351">
        <f t="shared" si="137"/>
        <v>0</v>
      </c>
      <c r="W257" s="451">
        <f t="shared" si="131"/>
        <v>0</v>
      </c>
      <c r="X257" s="660">
        <f t="shared" si="132"/>
        <v>0</v>
      </c>
      <c r="Y257" s="1352">
        <f t="shared" si="128"/>
        <v>0</v>
      </c>
      <c r="Z257" s="1137"/>
      <c r="AA257" s="1137"/>
      <c r="AB257" s="1348"/>
      <c r="AC257" s="1137"/>
      <c r="AD257" s="1347"/>
    </row>
    <row r="258" spans="1:30" s="293" customFormat="1" ht="15.75" hidden="1" customHeight="1">
      <c r="A258" s="1385"/>
      <c r="B258" s="1377"/>
      <c r="C258" s="1379"/>
      <c r="D258" s="1379"/>
      <c r="E258" s="1379"/>
      <c r="F258" s="1379"/>
      <c r="G258" s="1379"/>
      <c r="H258" s="1379"/>
      <c r="I258" s="1352">
        <f t="shared" si="138"/>
        <v>0</v>
      </c>
      <c r="J258" s="1137">
        <f t="shared" si="133"/>
        <v>0</v>
      </c>
      <c r="K258" s="1347">
        <f t="shared" si="134"/>
        <v>0</v>
      </c>
      <c r="L258" s="1137"/>
      <c r="M258" s="1137"/>
      <c r="N258" s="1347"/>
      <c r="O258" s="1349">
        <f t="shared" si="123"/>
        <v>0</v>
      </c>
      <c r="P258" s="1252"/>
      <c r="Q258" s="1252"/>
      <c r="R258" s="1473"/>
      <c r="S258" s="1350">
        <f t="shared" si="124"/>
        <v>0</v>
      </c>
      <c r="T258" s="451">
        <f t="shared" si="135"/>
        <v>0</v>
      </c>
      <c r="U258" s="451">
        <f t="shared" si="136"/>
        <v>0</v>
      </c>
      <c r="V258" s="1351">
        <f t="shared" si="137"/>
        <v>0</v>
      </c>
      <c r="W258" s="451">
        <f t="shared" si="131"/>
        <v>0</v>
      </c>
      <c r="X258" s="660">
        <f t="shared" si="132"/>
        <v>0</v>
      </c>
      <c r="Y258" s="1352">
        <f t="shared" si="128"/>
        <v>0</v>
      </c>
      <c r="Z258" s="1137"/>
      <c r="AA258" s="1137"/>
      <c r="AB258" s="1348"/>
      <c r="AC258" s="1137"/>
      <c r="AD258" s="1347"/>
    </row>
    <row r="259" spans="1:30" s="293" customFormat="1" ht="14.25" hidden="1" customHeight="1">
      <c r="A259" s="1385"/>
      <c r="B259" s="1377"/>
      <c r="C259" s="1379"/>
      <c r="D259" s="1379"/>
      <c r="E259" s="1379"/>
      <c r="F259" s="1379"/>
      <c r="G259" s="1379"/>
      <c r="H259" s="1379"/>
      <c r="I259" s="1352">
        <f t="shared" si="138"/>
        <v>0</v>
      </c>
      <c r="J259" s="1137">
        <f t="shared" si="133"/>
        <v>0</v>
      </c>
      <c r="K259" s="1347">
        <f t="shared" si="134"/>
        <v>0</v>
      </c>
      <c r="L259" s="1137"/>
      <c r="M259" s="1137"/>
      <c r="N259" s="1347"/>
      <c r="O259" s="1349">
        <f t="shared" si="123"/>
        <v>0</v>
      </c>
      <c r="P259" s="1252"/>
      <c r="Q259" s="1252"/>
      <c r="R259" s="1473"/>
      <c r="S259" s="1350">
        <f t="shared" si="124"/>
        <v>0</v>
      </c>
      <c r="T259" s="451">
        <f t="shared" si="135"/>
        <v>0</v>
      </c>
      <c r="U259" s="451">
        <f t="shared" si="136"/>
        <v>0</v>
      </c>
      <c r="V259" s="1351">
        <f t="shared" si="137"/>
        <v>0</v>
      </c>
      <c r="W259" s="451">
        <f t="shared" si="131"/>
        <v>0</v>
      </c>
      <c r="X259" s="660">
        <f t="shared" si="132"/>
        <v>0</v>
      </c>
      <c r="Y259" s="1352">
        <f t="shared" si="128"/>
        <v>0</v>
      </c>
      <c r="Z259" s="1137"/>
      <c r="AA259" s="1137"/>
      <c r="AB259" s="1348"/>
      <c r="AC259" s="1137"/>
      <c r="AD259" s="1347"/>
    </row>
    <row r="260" spans="1:30" s="293" customFormat="1" ht="27.75" hidden="1" customHeight="1">
      <c r="A260" s="1385"/>
      <c r="B260" s="1377"/>
      <c r="C260" s="1379"/>
      <c r="D260" s="1379"/>
      <c r="E260" s="1379"/>
      <c r="F260" s="1379"/>
      <c r="G260" s="1379"/>
      <c r="H260" s="1379"/>
      <c r="I260" s="1352">
        <f t="shared" si="138"/>
        <v>0</v>
      </c>
      <c r="J260" s="1137">
        <f t="shared" si="133"/>
        <v>0</v>
      </c>
      <c r="K260" s="1347">
        <f t="shared" si="134"/>
        <v>0</v>
      </c>
      <c r="L260" s="1137"/>
      <c r="M260" s="1137"/>
      <c r="N260" s="1347"/>
      <c r="O260" s="1349">
        <f t="shared" si="123"/>
        <v>0</v>
      </c>
      <c r="P260" s="1252"/>
      <c r="Q260" s="1252"/>
      <c r="R260" s="1473"/>
      <c r="S260" s="1350">
        <f t="shared" si="124"/>
        <v>0</v>
      </c>
      <c r="T260" s="451">
        <f t="shared" si="135"/>
        <v>0</v>
      </c>
      <c r="U260" s="451">
        <f t="shared" si="136"/>
        <v>0</v>
      </c>
      <c r="V260" s="1351">
        <f t="shared" si="137"/>
        <v>0</v>
      </c>
      <c r="W260" s="451">
        <f t="shared" si="131"/>
        <v>0</v>
      </c>
      <c r="X260" s="660">
        <f t="shared" si="132"/>
        <v>0</v>
      </c>
      <c r="Y260" s="1352">
        <f t="shared" si="128"/>
        <v>0</v>
      </c>
      <c r="Z260" s="1137"/>
      <c r="AA260" s="1137"/>
      <c r="AB260" s="1348"/>
      <c r="AC260" s="1137"/>
      <c r="AD260" s="1347"/>
    </row>
    <row r="261" spans="1:30" s="293" customFormat="1" ht="14.25" hidden="1" customHeight="1">
      <c r="A261" s="1385"/>
      <c r="B261" s="1377"/>
      <c r="C261" s="1379"/>
      <c r="D261" s="1379"/>
      <c r="E261" s="1379"/>
      <c r="F261" s="1379"/>
      <c r="G261" s="1379"/>
      <c r="H261" s="1379"/>
      <c r="I261" s="1352">
        <f t="shared" si="138"/>
        <v>0</v>
      </c>
      <c r="J261" s="1137">
        <f t="shared" si="133"/>
        <v>0</v>
      </c>
      <c r="K261" s="1347">
        <f t="shared" si="134"/>
        <v>0</v>
      </c>
      <c r="L261" s="1137"/>
      <c r="M261" s="1137"/>
      <c r="N261" s="1347"/>
      <c r="O261" s="1349">
        <f t="shared" si="123"/>
        <v>0</v>
      </c>
      <c r="P261" s="1252"/>
      <c r="Q261" s="1252"/>
      <c r="R261" s="1473"/>
      <c r="S261" s="1350">
        <f t="shared" si="124"/>
        <v>0</v>
      </c>
      <c r="T261" s="451">
        <f t="shared" si="135"/>
        <v>0</v>
      </c>
      <c r="U261" s="451">
        <f t="shared" si="136"/>
        <v>0</v>
      </c>
      <c r="V261" s="1351">
        <f t="shared" si="137"/>
        <v>0</v>
      </c>
      <c r="W261" s="451">
        <f t="shared" si="131"/>
        <v>0</v>
      </c>
      <c r="X261" s="660">
        <f t="shared" si="132"/>
        <v>0</v>
      </c>
      <c r="Y261" s="1352">
        <f t="shared" si="128"/>
        <v>0</v>
      </c>
      <c r="Z261" s="1137"/>
      <c r="AA261" s="1137"/>
      <c r="AB261" s="1348"/>
      <c r="AC261" s="1137"/>
      <c r="AD261" s="1347"/>
    </row>
    <row r="262" spans="1:30" s="293" customFormat="1" ht="14.25" hidden="1" customHeight="1">
      <c r="A262" s="1385"/>
      <c r="B262" s="1377"/>
      <c r="C262" s="1379"/>
      <c r="D262" s="1379"/>
      <c r="E262" s="1379"/>
      <c r="F262" s="1379"/>
      <c r="G262" s="1379"/>
      <c r="H262" s="1379"/>
      <c r="I262" s="1352">
        <f t="shared" si="138"/>
        <v>0</v>
      </c>
      <c r="J262" s="1137">
        <f t="shared" si="133"/>
        <v>0</v>
      </c>
      <c r="K262" s="1347">
        <f t="shared" si="134"/>
        <v>0</v>
      </c>
      <c r="L262" s="1137"/>
      <c r="M262" s="1137"/>
      <c r="N262" s="1347"/>
      <c r="O262" s="1349">
        <f t="shared" si="123"/>
        <v>0</v>
      </c>
      <c r="P262" s="1252"/>
      <c r="Q262" s="1252"/>
      <c r="R262" s="1473"/>
      <c r="S262" s="1350">
        <f t="shared" si="124"/>
        <v>0</v>
      </c>
      <c r="T262" s="451">
        <f t="shared" si="135"/>
        <v>0</v>
      </c>
      <c r="U262" s="451">
        <f t="shared" si="136"/>
        <v>0</v>
      </c>
      <c r="V262" s="1351">
        <f t="shared" si="137"/>
        <v>0</v>
      </c>
      <c r="W262" s="451">
        <f t="shared" si="131"/>
        <v>0</v>
      </c>
      <c r="X262" s="660">
        <f t="shared" si="132"/>
        <v>0</v>
      </c>
      <c r="Y262" s="1352">
        <f t="shared" si="128"/>
        <v>0</v>
      </c>
      <c r="Z262" s="1137"/>
      <c r="AA262" s="1137"/>
      <c r="AB262" s="1348"/>
      <c r="AC262" s="1137"/>
      <c r="AD262" s="1347"/>
    </row>
    <row r="263" spans="1:30" s="293" customFormat="1" ht="14.25" hidden="1" customHeight="1">
      <c r="A263" s="1385"/>
      <c r="B263" s="1377"/>
      <c r="C263" s="1379"/>
      <c r="D263" s="1379"/>
      <c r="E263" s="1379"/>
      <c r="F263" s="1379"/>
      <c r="G263" s="1379"/>
      <c r="H263" s="1379"/>
      <c r="I263" s="1352">
        <f t="shared" si="138"/>
        <v>0</v>
      </c>
      <c r="J263" s="1137">
        <f t="shared" si="133"/>
        <v>0</v>
      </c>
      <c r="K263" s="1347">
        <f t="shared" si="134"/>
        <v>0</v>
      </c>
      <c r="L263" s="1137"/>
      <c r="M263" s="1137"/>
      <c r="N263" s="1347"/>
      <c r="O263" s="1349">
        <f t="shared" si="123"/>
        <v>0</v>
      </c>
      <c r="P263" s="1252"/>
      <c r="Q263" s="1252"/>
      <c r="R263" s="1473"/>
      <c r="S263" s="1350">
        <f t="shared" si="124"/>
        <v>0</v>
      </c>
      <c r="T263" s="451">
        <f t="shared" si="135"/>
        <v>0</v>
      </c>
      <c r="U263" s="451">
        <f t="shared" si="136"/>
        <v>0</v>
      </c>
      <c r="V263" s="1351">
        <f t="shared" si="137"/>
        <v>0</v>
      </c>
      <c r="W263" s="451">
        <f t="shared" si="131"/>
        <v>0</v>
      </c>
      <c r="X263" s="660">
        <f t="shared" si="132"/>
        <v>0</v>
      </c>
      <c r="Y263" s="1352">
        <f t="shared" si="128"/>
        <v>0</v>
      </c>
      <c r="Z263" s="1137"/>
      <c r="AA263" s="1137"/>
      <c r="AB263" s="1348"/>
      <c r="AC263" s="1137"/>
      <c r="AD263" s="1347"/>
    </row>
    <row r="264" spans="1:30" s="293" customFormat="1" ht="14.25" hidden="1" customHeight="1">
      <c r="A264" s="1385"/>
      <c r="B264" s="1377"/>
      <c r="C264" s="1379"/>
      <c r="D264" s="1379"/>
      <c r="E264" s="1379"/>
      <c r="F264" s="1379"/>
      <c r="G264" s="1379"/>
      <c r="H264" s="1379"/>
      <c r="I264" s="1352">
        <f t="shared" si="138"/>
        <v>0</v>
      </c>
      <c r="J264" s="1137">
        <f t="shared" si="133"/>
        <v>0</v>
      </c>
      <c r="K264" s="1347">
        <f t="shared" si="134"/>
        <v>0</v>
      </c>
      <c r="L264" s="1137">
        <v>0</v>
      </c>
      <c r="M264" s="1137">
        <v>0</v>
      </c>
      <c r="N264" s="1347">
        <v>0</v>
      </c>
      <c r="O264" s="1349">
        <f t="shared" si="123"/>
        <v>0</v>
      </c>
      <c r="P264" s="1252"/>
      <c r="Q264" s="1252"/>
      <c r="R264" s="1473"/>
      <c r="S264" s="1350">
        <f t="shared" si="124"/>
        <v>0</v>
      </c>
      <c r="T264" s="451">
        <f t="shared" si="135"/>
        <v>0</v>
      </c>
      <c r="U264" s="451">
        <f t="shared" si="136"/>
        <v>0</v>
      </c>
      <c r="V264" s="1351">
        <f t="shared" si="137"/>
        <v>0</v>
      </c>
      <c r="W264" s="451">
        <f t="shared" si="131"/>
        <v>0</v>
      </c>
      <c r="X264" s="660">
        <f t="shared" si="132"/>
        <v>0</v>
      </c>
      <c r="Y264" s="1352">
        <f t="shared" si="128"/>
        <v>0</v>
      </c>
      <c r="Z264" s="1137"/>
      <c r="AA264" s="1137"/>
      <c r="AB264" s="1348"/>
      <c r="AC264" s="1137"/>
      <c r="AD264" s="1347"/>
    </row>
    <row r="265" spans="1:30" s="293" customFormat="1" ht="14.25" hidden="1" customHeight="1">
      <c r="A265" s="1385"/>
      <c r="B265" s="1377"/>
      <c r="C265" s="1379"/>
      <c r="D265" s="1379"/>
      <c r="E265" s="1379"/>
      <c r="F265" s="1379"/>
      <c r="G265" s="1379"/>
      <c r="H265" s="1379"/>
      <c r="I265" s="1352">
        <f t="shared" si="138"/>
        <v>0</v>
      </c>
      <c r="J265" s="1137">
        <f t="shared" si="133"/>
        <v>0</v>
      </c>
      <c r="K265" s="1347">
        <f t="shared" si="134"/>
        <v>0</v>
      </c>
      <c r="L265" s="1137">
        <v>0</v>
      </c>
      <c r="M265" s="1137">
        <v>0</v>
      </c>
      <c r="N265" s="1347">
        <v>0</v>
      </c>
      <c r="O265" s="1349">
        <f t="shared" si="123"/>
        <v>0</v>
      </c>
      <c r="P265" s="1252"/>
      <c r="Q265" s="1252"/>
      <c r="R265" s="1473"/>
      <c r="S265" s="1350">
        <f t="shared" si="124"/>
        <v>0</v>
      </c>
      <c r="T265" s="451">
        <f t="shared" si="135"/>
        <v>0</v>
      </c>
      <c r="U265" s="451">
        <f t="shared" si="136"/>
        <v>0</v>
      </c>
      <c r="V265" s="1351">
        <f t="shared" si="137"/>
        <v>0</v>
      </c>
      <c r="W265" s="451">
        <f t="shared" si="131"/>
        <v>0</v>
      </c>
      <c r="X265" s="660">
        <f t="shared" si="132"/>
        <v>0</v>
      </c>
      <c r="Y265" s="1352">
        <f t="shared" si="128"/>
        <v>0</v>
      </c>
      <c r="Z265" s="1137"/>
      <c r="AA265" s="1137"/>
      <c r="AB265" s="1348"/>
      <c r="AC265" s="1137"/>
      <c r="AD265" s="1347"/>
    </row>
    <row r="266" spans="1:30" s="293" customFormat="1" ht="14.25" hidden="1" customHeight="1">
      <c r="A266" s="1385"/>
      <c r="B266" s="1377"/>
      <c r="C266" s="1379"/>
      <c r="D266" s="1379"/>
      <c r="E266" s="1379"/>
      <c r="F266" s="1379"/>
      <c r="G266" s="1379"/>
      <c r="H266" s="1379"/>
      <c r="I266" s="1352">
        <f t="shared" si="138"/>
        <v>0</v>
      </c>
      <c r="J266" s="1137">
        <f t="shared" si="133"/>
        <v>0</v>
      </c>
      <c r="K266" s="1347">
        <f t="shared" si="134"/>
        <v>0</v>
      </c>
      <c r="L266" s="1137">
        <v>0</v>
      </c>
      <c r="M266" s="1137">
        <v>0</v>
      </c>
      <c r="N266" s="1347">
        <v>0</v>
      </c>
      <c r="O266" s="1349">
        <f t="shared" si="123"/>
        <v>0</v>
      </c>
      <c r="P266" s="1252"/>
      <c r="Q266" s="1252"/>
      <c r="R266" s="1473"/>
      <c r="S266" s="1350">
        <f t="shared" si="124"/>
        <v>0</v>
      </c>
      <c r="T266" s="451">
        <f t="shared" si="135"/>
        <v>0</v>
      </c>
      <c r="U266" s="451">
        <f t="shared" si="136"/>
        <v>0</v>
      </c>
      <c r="V266" s="1351">
        <f t="shared" si="137"/>
        <v>0</v>
      </c>
      <c r="W266" s="451">
        <f t="shared" si="131"/>
        <v>0</v>
      </c>
      <c r="X266" s="660">
        <f t="shared" si="132"/>
        <v>0</v>
      </c>
      <c r="Y266" s="1352">
        <f t="shared" si="128"/>
        <v>0</v>
      </c>
      <c r="Z266" s="1137"/>
      <c r="AA266" s="1137"/>
      <c r="AB266" s="1348"/>
      <c r="AC266" s="1137"/>
      <c r="AD266" s="1347"/>
    </row>
    <row r="267" spans="1:30" s="293" customFormat="1" ht="15.75" hidden="1" customHeight="1">
      <c r="A267" s="1385"/>
      <c r="B267" s="1377"/>
      <c r="C267" s="1379"/>
      <c r="D267" s="1379"/>
      <c r="E267" s="1379"/>
      <c r="F267" s="1379"/>
      <c r="G267" s="1379"/>
      <c r="H267" s="1379"/>
      <c r="I267" s="1352">
        <f t="shared" si="138"/>
        <v>0</v>
      </c>
      <c r="J267" s="1137">
        <f t="shared" si="133"/>
        <v>0</v>
      </c>
      <c r="K267" s="1347">
        <f t="shared" si="134"/>
        <v>0</v>
      </c>
      <c r="L267" s="1137">
        <v>0</v>
      </c>
      <c r="M267" s="1137">
        <v>0</v>
      </c>
      <c r="N267" s="1347">
        <v>0</v>
      </c>
      <c r="O267" s="1349">
        <f t="shared" si="123"/>
        <v>0</v>
      </c>
      <c r="P267" s="1252"/>
      <c r="Q267" s="1252"/>
      <c r="R267" s="1473"/>
      <c r="S267" s="1350">
        <f t="shared" si="124"/>
        <v>0</v>
      </c>
      <c r="T267" s="451">
        <f t="shared" si="135"/>
        <v>0</v>
      </c>
      <c r="U267" s="451">
        <f t="shared" si="136"/>
        <v>0</v>
      </c>
      <c r="V267" s="1351">
        <f t="shared" si="137"/>
        <v>0</v>
      </c>
      <c r="W267" s="451">
        <f t="shared" si="131"/>
        <v>0</v>
      </c>
      <c r="X267" s="660">
        <f t="shared" si="132"/>
        <v>0</v>
      </c>
      <c r="Y267" s="1352">
        <f t="shared" si="128"/>
        <v>0</v>
      </c>
      <c r="Z267" s="1137"/>
      <c r="AA267" s="1137"/>
      <c r="AB267" s="1348"/>
      <c r="AC267" s="1137"/>
      <c r="AD267" s="1347"/>
    </row>
    <row r="268" spans="1:30" s="293" customFormat="1" ht="14.25" hidden="1" customHeight="1">
      <c r="A268" s="1385"/>
      <c r="B268" s="1377"/>
      <c r="C268" s="1379"/>
      <c r="D268" s="1379"/>
      <c r="E268" s="1379"/>
      <c r="F268" s="1379"/>
      <c r="G268" s="1379"/>
      <c r="H268" s="1379"/>
      <c r="I268" s="1352">
        <f t="shared" si="138"/>
        <v>0</v>
      </c>
      <c r="J268" s="1137">
        <f t="shared" si="133"/>
        <v>0</v>
      </c>
      <c r="K268" s="1347">
        <f t="shared" si="134"/>
        <v>0</v>
      </c>
      <c r="L268" s="1137">
        <v>0</v>
      </c>
      <c r="M268" s="1137">
        <v>0</v>
      </c>
      <c r="N268" s="1347">
        <v>0</v>
      </c>
      <c r="O268" s="1349">
        <f t="shared" si="123"/>
        <v>0</v>
      </c>
      <c r="P268" s="1252"/>
      <c r="Q268" s="1252"/>
      <c r="R268" s="1473"/>
      <c r="S268" s="1350">
        <f t="shared" si="124"/>
        <v>0</v>
      </c>
      <c r="T268" s="451">
        <f t="shared" si="135"/>
        <v>0</v>
      </c>
      <c r="U268" s="451">
        <f t="shared" si="136"/>
        <v>0</v>
      </c>
      <c r="V268" s="1351">
        <f t="shared" si="137"/>
        <v>0</v>
      </c>
      <c r="W268" s="451">
        <f t="shared" si="131"/>
        <v>0</v>
      </c>
      <c r="X268" s="660">
        <f t="shared" si="132"/>
        <v>0</v>
      </c>
      <c r="Y268" s="1352">
        <f t="shared" si="128"/>
        <v>0</v>
      </c>
      <c r="Z268" s="1137"/>
      <c r="AA268" s="1137"/>
      <c r="AB268" s="1348"/>
      <c r="AC268" s="1137"/>
      <c r="AD268" s="1347"/>
    </row>
    <row r="269" spans="1:30" s="293" customFormat="1" ht="14.25" hidden="1" customHeight="1">
      <c r="A269" s="1385"/>
      <c r="B269" s="1377"/>
      <c r="C269" s="1379"/>
      <c r="D269" s="1379"/>
      <c r="E269" s="1379"/>
      <c r="F269" s="1379"/>
      <c r="G269" s="1379"/>
      <c r="H269" s="1379"/>
      <c r="I269" s="1352"/>
      <c r="J269" s="1137">
        <f t="shared" si="133"/>
        <v>0</v>
      </c>
      <c r="K269" s="1347">
        <f t="shared" si="134"/>
        <v>0</v>
      </c>
      <c r="L269" s="1348"/>
      <c r="M269" s="1137"/>
      <c r="N269" s="1347"/>
      <c r="O269" s="1349">
        <f t="shared" si="123"/>
        <v>0</v>
      </c>
      <c r="P269" s="1252"/>
      <c r="Q269" s="1252"/>
      <c r="R269" s="1473"/>
      <c r="S269" s="1350">
        <f t="shared" si="124"/>
        <v>0</v>
      </c>
      <c r="T269" s="451">
        <f t="shared" si="135"/>
        <v>0</v>
      </c>
      <c r="U269" s="451">
        <f t="shared" si="136"/>
        <v>0</v>
      </c>
      <c r="V269" s="1351">
        <f t="shared" si="137"/>
        <v>0</v>
      </c>
      <c r="W269" s="451">
        <f t="shared" si="131"/>
        <v>0</v>
      </c>
      <c r="X269" s="660">
        <f t="shared" si="132"/>
        <v>0</v>
      </c>
      <c r="Y269" s="1352">
        <f t="shared" si="128"/>
        <v>0</v>
      </c>
      <c r="Z269" s="1137"/>
      <c r="AA269" s="1137"/>
      <c r="AB269" s="1348"/>
      <c r="AC269" s="1137"/>
      <c r="AD269" s="1347"/>
    </row>
    <row r="270" spans="1:30" s="293" customFormat="1" ht="9" customHeight="1">
      <c r="A270" s="1385"/>
      <c r="B270" s="1461"/>
      <c r="C270" s="1379"/>
      <c r="D270" s="1379"/>
      <c r="E270" s="1379"/>
      <c r="F270" s="1379"/>
      <c r="G270" s="1379"/>
      <c r="H270" s="1379"/>
      <c r="I270" s="1352"/>
      <c r="J270" s="1137"/>
      <c r="K270" s="1347"/>
      <c r="L270" s="1348"/>
      <c r="M270" s="1137"/>
      <c r="N270" s="1347"/>
      <c r="O270" s="1372"/>
      <c r="P270" s="1137"/>
      <c r="Q270" s="1137"/>
      <c r="R270" s="1347"/>
      <c r="S270" s="1350"/>
      <c r="T270" s="451"/>
      <c r="U270" s="451"/>
      <c r="V270" s="1351"/>
      <c r="W270" s="451"/>
      <c r="X270" s="660">
        <f t="shared" si="132"/>
        <v>0</v>
      </c>
      <c r="Y270" s="1352"/>
      <c r="Z270" s="1137"/>
      <c r="AA270" s="1137"/>
      <c r="AB270" s="1348"/>
      <c r="AC270" s="1137"/>
      <c r="AD270" s="1347"/>
    </row>
    <row r="271" spans="1:30" s="293" customFormat="1" ht="14.25" customHeight="1">
      <c r="A271" s="1328" t="s">
        <v>1080</v>
      </c>
      <c r="B271" s="1329"/>
      <c r="C271" s="1468">
        <f t="shared" ref="C271:AD271" si="139">SUM(C272:C278)</f>
        <v>103150000</v>
      </c>
      <c r="D271" s="1468">
        <f t="shared" si="139"/>
        <v>81220000</v>
      </c>
      <c r="E271" s="1468">
        <f t="shared" si="139"/>
        <v>21930000</v>
      </c>
      <c r="F271" s="1468">
        <f t="shared" si="139"/>
        <v>103150000</v>
      </c>
      <c r="G271" s="1468">
        <f t="shared" si="139"/>
        <v>0</v>
      </c>
      <c r="H271" s="1468">
        <f t="shared" si="139"/>
        <v>0</v>
      </c>
      <c r="I271" s="1342">
        <f t="shared" si="139"/>
        <v>103150000</v>
      </c>
      <c r="J271" s="1335">
        <f t="shared" si="139"/>
        <v>81220000</v>
      </c>
      <c r="K271" s="1333">
        <f t="shared" si="139"/>
        <v>21930000</v>
      </c>
      <c r="L271" s="1334">
        <f t="shared" si="139"/>
        <v>103150000</v>
      </c>
      <c r="M271" s="1335">
        <f t="shared" si="139"/>
        <v>0</v>
      </c>
      <c r="N271" s="1333">
        <f t="shared" si="139"/>
        <v>0</v>
      </c>
      <c r="O271" s="1336">
        <f t="shared" si="139"/>
        <v>0</v>
      </c>
      <c r="P271" s="1337">
        <f t="shared" si="139"/>
        <v>0</v>
      </c>
      <c r="Q271" s="1337">
        <f t="shared" si="139"/>
        <v>0</v>
      </c>
      <c r="R271" s="1475">
        <f t="shared" si="139"/>
        <v>0</v>
      </c>
      <c r="S271" s="1338">
        <f t="shared" si="139"/>
        <v>126364500</v>
      </c>
      <c r="T271" s="1341">
        <f t="shared" si="139"/>
        <v>99499134</v>
      </c>
      <c r="U271" s="1341">
        <f t="shared" si="139"/>
        <v>26865366</v>
      </c>
      <c r="V271" s="1339">
        <f t="shared" si="139"/>
        <v>126364500</v>
      </c>
      <c r="W271" s="1341">
        <f t="shared" si="139"/>
        <v>0</v>
      </c>
      <c r="X271" s="1340">
        <f t="shared" si="139"/>
        <v>0</v>
      </c>
      <c r="Y271" s="1342">
        <f t="shared" si="139"/>
        <v>116265025</v>
      </c>
      <c r="Z271" s="1335">
        <f t="shared" si="139"/>
        <v>91547263</v>
      </c>
      <c r="AA271" s="1335">
        <f t="shared" si="139"/>
        <v>24717762</v>
      </c>
      <c r="AB271" s="1334">
        <f t="shared" si="139"/>
        <v>116265025</v>
      </c>
      <c r="AC271" s="1335">
        <f t="shared" si="139"/>
        <v>0</v>
      </c>
      <c r="AD271" s="1333">
        <f t="shared" si="139"/>
        <v>0</v>
      </c>
    </row>
    <row r="272" spans="1:30" s="293" customFormat="1" ht="14.25" customHeight="1">
      <c r="A272" s="1476">
        <v>66001</v>
      </c>
      <c r="B272" s="1477" t="s">
        <v>1081</v>
      </c>
      <c r="C272" s="1478">
        <v>57150000</v>
      </c>
      <c r="D272" s="1478">
        <v>45000000</v>
      </c>
      <c r="E272" s="1478">
        <v>12150000</v>
      </c>
      <c r="F272" s="1478">
        <v>57150000</v>
      </c>
      <c r="G272" s="1478"/>
      <c r="H272" s="1478"/>
      <c r="I272" s="1347">
        <f t="shared" ref="I272:I278" si="140">SUM(L272:N272)</f>
        <v>57150000</v>
      </c>
      <c r="J272" s="451">
        <f>SUM(I272)/1.27</f>
        <v>45000000</v>
      </c>
      <c r="K272" s="660">
        <f>SUM(J272)*0.27</f>
        <v>12150000</v>
      </c>
      <c r="L272" s="1137">
        <v>57150000</v>
      </c>
      <c r="M272" s="1137"/>
      <c r="N272" s="1347"/>
      <c r="O272" s="1349">
        <f t="shared" ref="O272:O278" si="141">SUM(P272:R272)</f>
        <v>0</v>
      </c>
      <c r="P272" s="1252"/>
      <c r="Q272" s="1252"/>
      <c r="R272" s="1473"/>
      <c r="S272" s="1350">
        <f t="shared" ref="S272:S278" si="142">SUM(V272:X272)</f>
        <v>57150000</v>
      </c>
      <c r="T272" s="451">
        <f>SUM(S272)/1.27</f>
        <v>45000000</v>
      </c>
      <c r="U272" s="451">
        <f>SUM(T272)*0.27</f>
        <v>12150000</v>
      </c>
      <c r="V272" s="1351">
        <f t="shared" ref="V272:X274" si="143">SUM(L272+P272)</f>
        <v>57150000</v>
      </c>
      <c r="W272" s="451">
        <f t="shared" si="143"/>
        <v>0</v>
      </c>
      <c r="X272" s="660">
        <f t="shared" si="143"/>
        <v>0</v>
      </c>
      <c r="Y272" s="1352">
        <f>Z272+AA272</f>
        <v>57118984</v>
      </c>
      <c r="Z272" s="1137">
        <v>44975578</v>
      </c>
      <c r="AA272" s="1137">
        <v>12143406</v>
      </c>
      <c r="AB272" s="1348">
        <v>57118984</v>
      </c>
      <c r="AC272" s="1137"/>
      <c r="AD272" s="1347"/>
    </row>
    <row r="273" spans="1:30" s="293" customFormat="1" ht="14.25" customHeight="1">
      <c r="A273" s="1476">
        <v>56001</v>
      </c>
      <c r="B273" s="1377" t="s">
        <v>1082</v>
      </c>
      <c r="C273" s="1458">
        <v>35357000</v>
      </c>
      <c r="D273" s="1458">
        <v>27840000</v>
      </c>
      <c r="E273" s="1458">
        <v>7517000</v>
      </c>
      <c r="F273" s="1458">
        <v>35357000</v>
      </c>
      <c r="G273" s="1458"/>
      <c r="H273" s="1458"/>
      <c r="I273" s="1347">
        <f t="shared" si="140"/>
        <v>35357000</v>
      </c>
      <c r="J273" s="451">
        <v>27840000</v>
      </c>
      <c r="K273" s="660">
        <v>7517000</v>
      </c>
      <c r="L273" s="1137">
        <v>35357000</v>
      </c>
      <c r="M273" s="1137"/>
      <c r="N273" s="1347"/>
      <c r="O273" s="1349">
        <f t="shared" si="141"/>
        <v>0</v>
      </c>
      <c r="P273" s="1252"/>
      <c r="Q273" s="1252"/>
      <c r="R273" s="1473"/>
      <c r="S273" s="1350">
        <f t="shared" si="142"/>
        <v>35357000</v>
      </c>
      <c r="T273" s="451">
        <v>27840000</v>
      </c>
      <c r="U273" s="451">
        <v>7517000</v>
      </c>
      <c r="V273" s="1351">
        <f t="shared" si="143"/>
        <v>35357000</v>
      </c>
      <c r="W273" s="451">
        <f t="shared" si="143"/>
        <v>0</v>
      </c>
      <c r="X273" s="660">
        <f t="shared" si="143"/>
        <v>0</v>
      </c>
      <c r="Y273" s="1352">
        <f>Z273+AA273</f>
        <v>35238390</v>
      </c>
      <c r="Z273" s="1137">
        <v>27746764</v>
      </c>
      <c r="AA273" s="1137">
        <v>7491626</v>
      </c>
      <c r="AB273" s="1348">
        <v>35238390</v>
      </c>
      <c r="AC273" s="1137"/>
      <c r="AD273" s="1347"/>
    </row>
    <row r="274" spans="1:30" s="293" customFormat="1" ht="12.75" customHeight="1">
      <c r="A274" s="1479">
        <v>56003</v>
      </c>
      <c r="B274" s="1377" t="s">
        <v>1083</v>
      </c>
      <c r="C274" s="1458">
        <v>10643000</v>
      </c>
      <c r="D274" s="1458">
        <v>8380000</v>
      </c>
      <c r="E274" s="1458">
        <v>2263000</v>
      </c>
      <c r="F274" s="1458">
        <v>10643000</v>
      </c>
      <c r="G274" s="1458"/>
      <c r="H274" s="1458"/>
      <c r="I274" s="1347">
        <f t="shared" si="140"/>
        <v>10643000</v>
      </c>
      <c r="J274" s="451">
        <v>8380000</v>
      </c>
      <c r="K274" s="660">
        <v>2263000</v>
      </c>
      <c r="L274" s="1137">
        <v>10643000</v>
      </c>
      <c r="M274" s="1137"/>
      <c r="N274" s="1347"/>
      <c r="O274" s="1349">
        <f t="shared" si="141"/>
        <v>0</v>
      </c>
      <c r="P274" s="1252"/>
      <c r="Q274" s="1252"/>
      <c r="R274" s="1473"/>
      <c r="S274" s="1350">
        <f t="shared" si="142"/>
        <v>10643000</v>
      </c>
      <c r="T274" s="451">
        <v>8380000</v>
      </c>
      <c r="U274" s="451">
        <v>2263000</v>
      </c>
      <c r="V274" s="1351">
        <f t="shared" si="143"/>
        <v>10643000</v>
      </c>
      <c r="W274" s="451">
        <f t="shared" si="143"/>
        <v>0</v>
      </c>
      <c r="X274" s="660">
        <f t="shared" si="143"/>
        <v>0</v>
      </c>
      <c r="Y274" s="1352">
        <f>Z274+AA274</f>
        <v>10642940</v>
      </c>
      <c r="Z274" s="1137">
        <v>8380267</v>
      </c>
      <c r="AA274" s="1137">
        <v>2262673</v>
      </c>
      <c r="AB274" s="1348">
        <v>10642940</v>
      </c>
      <c r="AC274" s="1137"/>
      <c r="AD274" s="1347"/>
    </row>
    <row r="275" spans="1:30" s="293" customFormat="1" ht="15" customHeight="1">
      <c r="A275" s="1479">
        <v>66003</v>
      </c>
      <c r="B275" s="1474" t="s">
        <v>1084</v>
      </c>
      <c r="C275" s="1379"/>
      <c r="D275" s="1379"/>
      <c r="E275" s="1379"/>
      <c r="F275" s="1379"/>
      <c r="G275" s="1379"/>
      <c r="H275" s="1379"/>
      <c r="I275" s="1347">
        <f t="shared" si="140"/>
        <v>0</v>
      </c>
      <c r="J275" s="451">
        <f t="shared" ref="J275:J289" si="144">SUM(I275)/1.27</f>
        <v>0</v>
      </c>
      <c r="K275" s="660">
        <f t="shared" ref="K275:K289" si="145">SUM(J275)*0.27</f>
        <v>0</v>
      </c>
      <c r="L275" s="1137"/>
      <c r="M275" s="1137"/>
      <c r="N275" s="1347"/>
      <c r="O275" s="1349">
        <f t="shared" si="141"/>
        <v>0</v>
      </c>
      <c r="P275" s="1252"/>
      <c r="Q275" s="1252"/>
      <c r="R275" s="1473"/>
      <c r="S275" s="1350">
        <f t="shared" si="142"/>
        <v>23214500</v>
      </c>
      <c r="T275" s="451">
        <f>SUM(S275)/1.27</f>
        <v>18279134</v>
      </c>
      <c r="U275" s="451">
        <f>SUM(T275)*0.27</f>
        <v>4935366</v>
      </c>
      <c r="V275" s="1351">
        <v>23214500</v>
      </c>
      <c r="W275" s="451">
        <f t="shared" ref="W275:X278" si="146">SUM(M275+Q275)</f>
        <v>0</v>
      </c>
      <c r="X275" s="660">
        <f t="shared" si="146"/>
        <v>0</v>
      </c>
      <c r="Y275" s="1352">
        <f>Z275+AA275</f>
        <v>13264711</v>
      </c>
      <c r="Z275" s="1137">
        <v>10444654</v>
      </c>
      <c r="AA275" s="1137">
        <v>2820057</v>
      </c>
      <c r="AB275" s="1348">
        <v>13264711</v>
      </c>
      <c r="AC275" s="1137"/>
      <c r="AD275" s="1347"/>
    </row>
    <row r="276" spans="1:30" s="293" customFormat="1" ht="13.5" customHeight="1">
      <c r="A276" s="1389"/>
      <c r="B276" s="1377"/>
      <c r="C276" s="1379"/>
      <c r="D276" s="1379"/>
      <c r="E276" s="1379"/>
      <c r="F276" s="1379"/>
      <c r="G276" s="1379"/>
      <c r="H276" s="1379"/>
      <c r="I276" s="1347">
        <f t="shared" si="140"/>
        <v>0</v>
      </c>
      <c r="J276" s="451">
        <f t="shared" si="144"/>
        <v>0</v>
      </c>
      <c r="K276" s="660">
        <f t="shared" si="145"/>
        <v>0</v>
      </c>
      <c r="L276" s="1137"/>
      <c r="M276" s="1137"/>
      <c r="N276" s="1347"/>
      <c r="O276" s="1349">
        <f t="shared" si="141"/>
        <v>0</v>
      </c>
      <c r="P276" s="1252"/>
      <c r="Q276" s="1252"/>
      <c r="R276" s="1473"/>
      <c r="S276" s="1350">
        <f t="shared" si="142"/>
        <v>0</v>
      </c>
      <c r="T276" s="451">
        <f>SUM(S276)/1.27</f>
        <v>0</v>
      </c>
      <c r="U276" s="451">
        <f>SUM(T276)*0.27</f>
        <v>0</v>
      </c>
      <c r="V276" s="1351">
        <f>SUM(L276+P276)</f>
        <v>0</v>
      </c>
      <c r="W276" s="451">
        <f t="shared" si="146"/>
        <v>0</v>
      </c>
      <c r="X276" s="660">
        <f t="shared" si="146"/>
        <v>0</v>
      </c>
      <c r="Y276" s="1352"/>
      <c r="Z276" s="1137"/>
      <c r="AA276" s="1137"/>
      <c r="AB276" s="1348"/>
      <c r="AC276" s="1137"/>
      <c r="AD276" s="1347"/>
    </row>
    <row r="277" spans="1:30" s="293" customFormat="1" ht="14.25" customHeight="1">
      <c r="A277" s="1385"/>
      <c r="B277" s="1377"/>
      <c r="C277" s="1379"/>
      <c r="D277" s="1379"/>
      <c r="E277" s="1379"/>
      <c r="F277" s="1379"/>
      <c r="G277" s="1379"/>
      <c r="H277" s="1379"/>
      <c r="I277" s="1347">
        <f t="shared" si="140"/>
        <v>0</v>
      </c>
      <c r="J277" s="451">
        <f t="shared" si="144"/>
        <v>0</v>
      </c>
      <c r="K277" s="660">
        <f t="shared" si="145"/>
        <v>0</v>
      </c>
      <c r="L277" s="1137"/>
      <c r="M277" s="1137"/>
      <c r="N277" s="1347"/>
      <c r="O277" s="1349">
        <f t="shared" si="141"/>
        <v>0</v>
      </c>
      <c r="P277" s="1252"/>
      <c r="Q277" s="1252"/>
      <c r="R277" s="1473"/>
      <c r="S277" s="1350">
        <f t="shared" si="142"/>
        <v>0</v>
      </c>
      <c r="T277" s="451">
        <f>SUM(S277)/1.27</f>
        <v>0</v>
      </c>
      <c r="U277" s="451">
        <f>SUM(T277)*0.27</f>
        <v>0</v>
      </c>
      <c r="V277" s="1351">
        <f>SUM(L277+P277)</f>
        <v>0</v>
      </c>
      <c r="W277" s="451">
        <f t="shared" si="146"/>
        <v>0</v>
      </c>
      <c r="X277" s="660">
        <f t="shared" si="146"/>
        <v>0</v>
      </c>
      <c r="Y277" s="1352"/>
      <c r="Z277" s="1137"/>
      <c r="AA277" s="1137"/>
      <c r="AB277" s="1348"/>
      <c r="AC277" s="1137"/>
      <c r="AD277" s="1347"/>
    </row>
    <row r="278" spans="1:30" s="293" customFormat="1" ht="14.25" customHeight="1">
      <c r="A278" s="1385"/>
      <c r="B278" s="1377"/>
      <c r="C278" s="1379"/>
      <c r="D278" s="1379"/>
      <c r="E278" s="1379"/>
      <c r="F278" s="1379"/>
      <c r="G278" s="1379"/>
      <c r="H278" s="1379"/>
      <c r="I278" s="1347">
        <f t="shared" si="140"/>
        <v>0</v>
      </c>
      <c r="J278" s="451">
        <f t="shared" si="144"/>
        <v>0</v>
      </c>
      <c r="K278" s="660">
        <f t="shared" si="145"/>
        <v>0</v>
      </c>
      <c r="L278" s="1137"/>
      <c r="M278" s="1137"/>
      <c r="N278" s="1347"/>
      <c r="O278" s="1349">
        <f t="shared" si="141"/>
        <v>0</v>
      </c>
      <c r="P278" s="1252"/>
      <c r="Q278" s="1252"/>
      <c r="R278" s="1473"/>
      <c r="S278" s="1350">
        <f t="shared" si="142"/>
        <v>0</v>
      </c>
      <c r="T278" s="451">
        <f>SUM(S278)/1.27</f>
        <v>0</v>
      </c>
      <c r="U278" s="451">
        <f>SUM(T278)*0.27</f>
        <v>0</v>
      </c>
      <c r="V278" s="1351">
        <f>SUM(L278+P278)</f>
        <v>0</v>
      </c>
      <c r="W278" s="451">
        <f t="shared" si="146"/>
        <v>0</v>
      </c>
      <c r="X278" s="660">
        <f t="shared" si="146"/>
        <v>0</v>
      </c>
      <c r="Y278" s="1352"/>
      <c r="Z278" s="1137"/>
      <c r="AA278" s="1137"/>
      <c r="AB278" s="1348"/>
      <c r="AC278" s="1137"/>
      <c r="AD278" s="1347"/>
    </row>
    <row r="279" spans="1:30" s="293" customFormat="1" ht="14.25" customHeight="1">
      <c r="A279" s="1385"/>
      <c r="B279" s="1377"/>
      <c r="C279" s="1379"/>
      <c r="D279" s="1379"/>
      <c r="E279" s="1379"/>
      <c r="F279" s="1379"/>
      <c r="G279" s="1379"/>
      <c r="H279" s="1379"/>
      <c r="I279" s="1352"/>
      <c r="J279" s="451">
        <f t="shared" si="144"/>
        <v>0</v>
      </c>
      <c r="K279" s="660">
        <f t="shared" si="145"/>
        <v>0</v>
      </c>
      <c r="L279" s="1137"/>
      <c r="M279" s="1137"/>
      <c r="N279" s="1347"/>
      <c r="O279" s="1372"/>
      <c r="P279" s="451"/>
      <c r="Q279" s="451"/>
      <c r="R279" s="660"/>
      <c r="S279" s="660"/>
      <c r="T279" s="451"/>
      <c r="U279" s="451"/>
      <c r="V279" s="1351"/>
      <c r="W279" s="451"/>
      <c r="X279" s="660"/>
      <c r="Y279" s="1347"/>
      <c r="Z279" s="1137"/>
      <c r="AA279" s="1137"/>
      <c r="AB279" s="1348"/>
      <c r="AC279" s="1137"/>
      <c r="AD279" s="1347"/>
    </row>
    <row r="280" spans="1:30" s="293" customFormat="1" ht="16.5" hidden="1" customHeight="1">
      <c r="A280" s="1779" t="s">
        <v>1085</v>
      </c>
      <c r="B280" s="1779"/>
      <c r="C280" s="1456">
        <f t="shared" ref="C280:I280" si="147">SUM(C281:C289)</f>
        <v>0</v>
      </c>
      <c r="D280" s="1456">
        <f t="shared" si="147"/>
        <v>0</v>
      </c>
      <c r="E280" s="1456">
        <f t="shared" si="147"/>
        <v>0</v>
      </c>
      <c r="F280" s="1456">
        <f t="shared" si="147"/>
        <v>0</v>
      </c>
      <c r="G280" s="1456">
        <f t="shared" si="147"/>
        <v>0</v>
      </c>
      <c r="H280" s="1456">
        <f t="shared" si="147"/>
        <v>0</v>
      </c>
      <c r="I280" s="1342">
        <f t="shared" si="147"/>
        <v>0</v>
      </c>
      <c r="J280" s="1480">
        <f t="shared" si="144"/>
        <v>0</v>
      </c>
      <c r="K280" s="1481">
        <f t="shared" si="145"/>
        <v>0</v>
      </c>
      <c r="L280" s="1334">
        <f t="shared" ref="L280:AD280" si="148">SUM(L281:L289)</f>
        <v>0</v>
      </c>
      <c r="M280" s="1335">
        <f t="shared" si="148"/>
        <v>0</v>
      </c>
      <c r="N280" s="1333">
        <f t="shared" si="148"/>
        <v>0</v>
      </c>
      <c r="O280" s="1336">
        <f t="shared" si="148"/>
        <v>0</v>
      </c>
      <c r="P280" s="1337">
        <f t="shared" si="148"/>
        <v>0</v>
      </c>
      <c r="Q280" s="1337">
        <f t="shared" si="148"/>
        <v>0</v>
      </c>
      <c r="R280" s="1475">
        <f t="shared" si="148"/>
        <v>0</v>
      </c>
      <c r="S280" s="1338">
        <f t="shared" si="148"/>
        <v>0</v>
      </c>
      <c r="T280" s="1341">
        <f t="shared" si="148"/>
        <v>0</v>
      </c>
      <c r="U280" s="1341">
        <f t="shared" si="148"/>
        <v>0</v>
      </c>
      <c r="V280" s="1339">
        <f t="shared" si="148"/>
        <v>0</v>
      </c>
      <c r="W280" s="1341">
        <f t="shared" si="148"/>
        <v>0</v>
      </c>
      <c r="X280" s="1340">
        <f t="shared" si="148"/>
        <v>0</v>
      </c>
      <c r="Y280" s="1342">
        <f t="shared" si="148"/>
        <v>0</v>
      </c>
      <c r="Z280" s="1335">
        <f t="shared" si="148"/>
        <v>0</v>
      </c>
      <c r="AA280" s="1335">
        <f t="shared" si="148"/>
        <v>0</v>
      </c>
      <c r="AB280" s="1334">
        <f t="shared" si="148"/>
        <v>0</v>
      </c>
      <c r="AC280" s="1335">
        <f t="shared" si="148"/>
        <v>0</v>
      </c>
      <c r="AD280" s="1333">
        <f t="shared" si="148"/>
        <v>0</v>
      </c>
    </row>
    <row r="281" spans="1:30" s="293" customFormat="1" ht="14.25" hidden="1" customHeight="1">
      <c r="A281" s="1385"/>
      <c r="B281" s="1477"/>
      <c r="C281" s="1482"/>
      <c r="D281" s="1482"/>
      <c r="E281" s="1482"/>
      <c r="F281" s="1482"/>
      <c r="G281" s="1482"/>
      <c r="H281" s="1482"/>
      <c r="I281" s="1352">
        <f t="shared" ref="I281:I289" si="149">SUM(L281:P281)</f>
        <v>0</v>
      </c>
      <c r="J281" s="451">
        <f t="shared" si="144"/>
        <v>0</v>
      </c>
      <c r="K281" s="660">
        <f t="shared" si="145"/>
        <v>0</v>
      </c>
      <c r="L281" s="1137"/>
      <c r="M281" s="1137"/>
      <c r="N281" s="1347"/>
      <c r="O281" s="1349">
        <f t="shared" ref="O281:O289" si="150">SUM(P281:R281)</f>
        <v>0</v>
      </c>
      <c r="P281" s="1252"/>
      <c r="Q281" s="1252"/>
      <c r="R281" s="1473"/>
      <c r="S281" s="1350">
        <f t="shared" ref="S281:S289" si="151">SUM(V281:X281)</f>
        <v>0</v>
      </c>
      <c r="T281" s="451">
        <f t="shared" ref="T281:T289" si="152">SUM(S281)/1.27</f>
        <v>0</v>
      </c>
      <c r="U281" s="451">
        <f t="shared" ref="U281:U289" si="153">SUM(T281)*0.27</f>
        <v>0</v>
      </c>
      <c r="V281" s="1351">
        <f t="shared" ref="V281:V289" si="154">SUM(L281+P281)</f>
        <v>0</v>
      </c>
      <c r="W281" s="451">
        <f t="shared" ref="W281:W289" si="155">SUM(M281+Q281)</f>
        <v>0</v>
      </c>
      <c r="X281" s="660">
        <f t="shared" ref="X281:X289" si="156">SUM(N281+R281)</f>
        <v>0</v>
      </c>
      <c r="Y281" s="1352"/>
      <c r="Z281" s="1137"/>
      <c r="AA281" s="1137"/>
      <c r="AB281" s="1348"/>
      <c r="AC281" s="1137"/>
      <c r="AD281" s="1347"/>
    </row>
    <row r="282" spans="1:30" s="293" customFormat="1" ht="14.25" hidden="1" customHeight="1">
      <c r="A282" s="1385"/>
      <c r="B282" s="1477"/>
      <c r="C282" s="1482"/>
      <c r="D282" s="1482"/>
      <c r="E282" s="1482"/>
      <c r="F282" s="1482"/>
      <c r="G282" s="1482"/>
      <c r="H282" s="1482"/>
      <c r="I282" s="1352">
        <f t="shared" si="149"/>
        <v>0</v>
      </c>
      <c r="J282" s="451">
        <f t="shared" si="144"/>
        <v>0</v>
      </c>
      <c r="K282" s="660">
        <f t="shared" si="145"/>
        <v>0</v>
      </c>
      <c r="L282" s="1137">
        <v>0</v>
      </c>
      <c r="M282" s="1137">
        <v>0</v>
      </c>
      <c r="N282" s="1347">
        <v>0</v>
      </c>
      <c r="O282" s="1349">
        <f t="shared" si="150"/>
        <v>0</v>
      </c>
      <c r="P282" s="1252"/>
      <c r="Q282" s="1252"/>
      <c r="R282" s="1473"/>
      <c r="S282" s="1350">
        <f t="shared" si="151"/>
        <v>0</v>
      </c>
      <c r="T282" s="451">
        <f t="shared" si="152"/>
        <v>0</v>
      </c>
      <c r="U282" s="451">
        <f t="shared" si="153"/>
        <v>0</v>
      </c>
      <c r="V282" s="1351">
        <f t="shared" si="154"/>
        <v>0</v>
      </c>
      <c r="W282" s="451">
        <f t="shared" si="155"/>
        <v>0</v>
      </c>
      <c r="X282" s="660">
        <f t="shared" si="156"/>
        <v>0</v>
      </c>
      <c r="Y282" s="1352"/>
      <c r="Z282" s="1137"/>
      <c r="AA282" s="1137"/>
      <c r="AB282" s="1348"/>
      <c r="AC282" s="1137"/>
      <c r="AD282" s="1347"/>
    </row>
    <row r="283" spans="1:30" s="293" customFormat="1" ht="14.25" hidden="1" customHeight="1">
      <c r="A283" s="1385"/>
      <c r="B283" s="1477"/>
      <c r="C283" s="1482"/>
      <c r="D283" s="1482"/>
      <c r="E283" s="1482"/>
      <c r="F283" s="1482"/>
      <c r="G283" s="1482"/>
      <c r="H283" s="1482"/>
      <c r="I283" s="1352">
        <f t="shared" si="149"/>
        <v>0</v>
      </c>
      <c r="J283" s="451">
        <f t="shared" si="144"/>
        <v>0</v>
      </c>
      <c r="K283" s="660">
        <f t="shared" si="145"/>
        <v>0</v>
      </c>
      <c r="L283" s="1137">
        <v>0</v>
      </c>
      <c r="M283" s="1137">
        <v>0</v>
      </c>
      <c r="N283" s="1347">
        <v>0</v>
      </c>
      <c r="O283" s="1349">
        <f t="shared" si="150"/>
        <v>0</v>
      </c>
      <c r="P283" s="1252"/>
      <c r="Q283" s="1252"/>
      <c r="R283" s="1473"/>
      <c r="S283" s="1350">
        <f t="shared" si="151"/>
        <v>0</v>
      </c>
      <c r="T283" s="451">
        <f t="shared" si="152"/>
        <v>0</v>
      </c>
      <c r="U283" s="451">
        <f t="shared" si="153"/>
        <v>0</v>
      </c>
      <c r="V283" s="1351">
        <f t="shared" si="154"/>
        <v>0</v>
      </c>
      <c r="W283" s="451">
        <f t="shared" si="155"/>
        <v>0</v>
      </c>
      <c r="X283" s="660">
        <f t="shared" si="156"/>
        <v>0</v>
      </c>
      <c r="Y283" s="1352"/>
      <c r="Z283" s="1137"/>
      <c r="AA283" s="1137"/>
      <c r="AB283" s="1348"/>
      <c r="AC283" s="1137"/>
      <c r="AD283" s="1347"/>
    </row>
    <row r="284" spans="1:30" s="293" customFormat="1" ht="14.25" hidden="1" customHeight="1">
      <c r="A284" s="1385"/>
      <c r="B284" s="1477"/>
      <c r="C284" s="1482"/>
      <c r="D284" s="1482"/>
      <c r="E284" s="1482"/>
      <c r="F284" s="1482"/>
      <c r="G284" s="1482"/>
      <c r="H284" s="1482"/>
      <c r="I284" s="1352">
        <f t="shared" si="149"/>
        <v>0</v>
      </c>
      <c r="J284" s="451">
        <f t="shared" si="144"/>
        <v>0</v>
      </c>
      <c r="K284" s="660">
        <f t="shared" si="145"/>
        <v>0</v>
      </c>
      <c r="L284" s="1137">
        <v>0</v>
      </c>
      <c r="M284" s="1137">
        <v>0</v>
      </c>
      <c r="N284" s="1347">
        <v>0</v>
      </c>
      <c r="O284" s="1349">
        <f t="shared" si="150"/>
        <v>0</v>
      </c>
      <c r="P284" s="1252"/>
      <c r="Q284" s="1252"/>
      <c r="R284" s="1473"/>
      <c r="S284" s="1350">
        <f t="shared" si="151"/>
        <v>0</v>
      </c>
      <c r="T284" s="451">
        <f t="shared" si="152"/>
        <v>0</v>
      </c>
      <c r="U284" s="451">
        <f t="shared" si="153"/>
        <v>0</v>
      </c>
      <c r="V284" s="1351">
        <f t="shared" si="154"/>
        <v>0</v>
      </c>
      <c r="W284" s="451">
        <f t="shared" si="155"/>
        <v>0</v>
      </c>
      <c r="X284" s="660">
        <f t="shared" si="156"/>
        <v>0</v>
      </c>
      <c r="Y284" s="1352"/>
      <c r="Z284" s="1137"/>
      <c r="AA284" s="1137"/>
      <c r="AB284" s="1348"/>
      <c r="AC284" s="1137"/>
      <c r="AD284" s="1347"/>
    </row>
    <row r="285" spans="1:30" s="293" customFormat="1" ht="14.25" hidden="1" customHeight="1">
      <c r="A285" s="1385"/>
      <c r="B285" s="1477"/>
      <c r="C285" s="1482"/>
      <c r="D285" s="1482"/>
      <c r="E285" s="1482"/>
      <c r="F285" s="1482"/>
      <c r="G285" s="1482"/>
      <c r="H285" s="1482"/>
      <c r="I285" s="1352">
        <f t="shared" si="149"/>
        <v>0</v>
      </c>
      <c r="J285" s="451">
        <f t="shared" si="144"/>
        <v>0</v>
      </c>
      <c r="K285" s="660">
        <f t="shared" si="145"/>
        <v>0</v>
      </c>
      <c r="L285" s="1137">
        <v>0</v>
      </c>
      <c r="M285" s="1137">
        <v>0</v>
      </c>
      <c r="N285" s="1347">
        <v>0</v>
      </c>
      <c r="O285" s="1349">
        <f t="shared" si="150"/>
        <v>0</v>
      </c>
      <c r="P285" s="1252"/>
      <c r="Q285" s="1252"/>
      <c r="R285" s="1473"/>
      <c r="S285" s="1350">
        <f t="shared" si="151"/>
        <v>0</v>
      </c>
      <c r="T285" s="451">
        <f t="shared" si="152"/>
        <v>0</v>
      </c>
      <c r="U285" s="451">
        <f t="shared" si="153"/>
        <v>0</v>
      </c>
      <c r="V285" s="1351">
        <f t="shared" si="154"/>
        <v>0</v>
      </c>
      <c r="W285" s="451">
        <f t="shared" si="155"/>
        <v>0</v>
      </c>
      <c r="X285" s="660">
        <f t="shared" si="156"/>
        <v>0</v>
      </c>
      <c r="Y285" s="1352"/>
      <c r="Z285" s="1137"/>
      <c r="AA285" s="1137"/>
      <c r="AB285" s="1348"/>
      <c r="AC285" s="1137"/>
      <c r="AD285" s="1347"/>
    </row>
    <row r="286" spans="1:30" s="293" customFormat="1" ht="14.25" hidden="1" customHeight="1">
      <c r="A286" s="1385"/>
      <c r="B286" s="1483"/>
      <c r="C286" s="1482"/>
      <c r="D286" s="1482"/>
      <c r="E286" s="1482"/>
      <c r="F286" s="1482"/>
      <c r="G286" s="1482"/>
      <c r="H286" s="1482"/>
      <c r="I286" s="1352">
        <f t="shared" si="149"/>
        <v>0</v>
      </c>
      <c r="J286" s="451">
        <f t="shared" si="144"/>
        <v>0</v>
      </c>
      <c r="K286" s="660">
        <f t="shared" si="145"/>
        <v>0</v>
      </c>
      <c r="L286" s="1137">
        <v>0</v>
      </c>
      <c r="M286" s="1137">
        <v>0</v>
      </c>
      <c r="N286" s="1347">
        <v>0</v>
      </c>
      <c r="O286" s="1349">
        <f t="shared" si="150"/>
        <v>0</v>
      </c>
      <c r="P286" s="1252"/>
      <c r="Q286" s="1252"/>
      <c r="R286" s="1473"/>
      <c r="S286" s="1350">
        <f t="shared" si="151"/>
        <v>0</v>
      </c>
      <c r="T286" s="451">
        <f t="shared" si="152"/>
        <v>0</v>
      </c>
      <c r="U286" s="451">
        <f t="shared" si="153"/>
        <v>0</v>
      </c>
      <c r="V286" s="1351">
        <f t="shared" si="154"/>
        <v>0</v>
      </c>
      <c r="W286" s="451">
        <f t="shared" si="155"/>
        <v>0</v>
      </c>
      <c r="X286" s="660">
        <f t="shared" si="156"/>
        <v>0</v>
      </c>
      <c r="Y286" s="1352"/>
      <c r="Z286" s="1137"/>
      <c r="AA286" s="1137"/>
      <c r="AB286" s="1348"/>
      <c r="AC286" s="1137"/>
      <c r="AD286" s="1347"/>
    </row>
    <row r="287" spans="1:30" s="293" customFormat="1" ht="14.25" hidden="1" customHeight="1">
      <c r="A287" s="1385"/>
      <c r="B287" s="1377"/>
      <c r="C287" s="1379"/>
      <c r="D287" s="1379"/>
      <c r="E287" s="1379"/>
      <c r="F287" s="1379"/>
      <c r="G287" s="1379"/>
      <c r="H287" s="1379"/>
      <c r="I287" s="1352">
        <f t="shared" si="149"/>
        <v>0</v>
      </c>
      <c r="J287" s="451">
        <f t="shared" si="144"/>
        <v>0</v>
      </c>
      <c r="K287" s="660">
        <f t="shared" si="145"/>
        <v>0</v>
      </c>
      <c r="L287" s="1137">
        <v>0</v>
      </c>
      <c r="M287" s="1137">
        <v>0</v>
      </c>
      <c r="N287" s="1347">
        <v>0</v>
      </c>
      <c r="O287" s="1349">
        <f t="shared" si="150"/>
        <v>0</v>
      </c>
      <c r="P287" s="1252"/>
      <c r="Q287" s="1252"/>
      <c r="R287" s="1473"/>
      <c r="S287" s="1350">
        <f t="shared" si="151"/>
        <v>0</v>
      </c>
      <c r="T287" s="451">
        <f t="shared" si="152"/>
        <v>0</v>
      </c>
      <c r="U287" s="451">
        <f t="shared" si="153"/>
        <v>0</v>
      </c>
      <c r="V287" s="1351">
        <f t="shared" si="154"/>
        <v>0</v>
      </c>
      <c r="W287" s="451">
        <f t="shared" si="155"/>
        <v>0</v>
      </c>
      <c r="X287" s="660">
        <f t="shared" si="156"/>
        <v>0</v>
      </c>
      <c r="Y287" s="1352"/>
      <c r="Z287" s="1137"/>
      <c r="AA287" s="1137"/>
      <c r="AB287" s="1348"/>
      <c r="AC287" s="1137"/>
      <c r="AD287" s="1347"/>
    </row>
    <row r="288" spans="1:30" s="293" customFormat="1" ht="14.25" hidden="1" customHeight="1">
      <c r="A288" s="1385"/>
      <c r="B288" s="1377"/>
      <c r="C288" s="1379"/>
      <c r="D288" s="1379"/>
      <c r="E288" s="1379"/>
      <c r="F288" s="1379"/>
      <c r="G288" s="1379"/>
      <c r="H288" s="1379"/>
      <c r="I288" s="1352">
        <f t="shared" si="149"/>
        <v>0</v>
      </c>
      <c r="J288" s="451">
        <f t="shared" si="144"/>
        <v>0</v>
      </c>
      <c r="K288" s="660">
        <f t="shared" si="145"/>
        <v>0</v>
      </c>
      <c r="L288" s="1137">
        <v>0</v>
      </c>
      <c r="M288" s="1137">
        <v>0</v>
      </c>
      <c r="N288" s="1347">
        <v>0</v>
      </c>
      <c r="O288" s="1349">
        <f t="shared" si="150"/>
        <v>0</v>
      </c>
      <c r="P288" s="1252"/>
      <c r="Q288" s="1252"/>
      <c r="R288" s="1473"/>
      <c r="S288" s="1350">
        <f t="shared" si="151"/>
        <v>0</v>
      </c>
      <c r="T288" s="451">
        <f t="shared" si="152"/>
        <v>0</v>
      </c>
      <c r="U288" s="451">
        <f t="shared" si="153"/>
        <v>0</v>
      </c>
      <c r="V288" s="1351">
        <f t="shared" si="154"/>
        <v>0</v>
      </c>
      <c r="W288" s="451">
        <f t="shared" si="155"/>
        <v>0</v>
      </c>
      <c r="X288" s="660">
        <f t="shared" si="156"/>
        <v>0</v>
      </c>
      <c r="Y288" s="1352"/>
      <c r="Z288" s="1137"/>
      <c r="AA288" s="1137"/>
      <c r="AB288" s="1348"/>
      <c r="AC288" s="1137"/>
      <c r="AD288" s="1347"/>
    </row>
    <row r="289" spans="1:44" s="293" customFormat="1" ht="14.25" hidden="1" customHeight="1">
      <c r="A289" s="1385"/>
      <c r="B289" s="1377"/>
      <c r="C289" s="1379"/>
      <c r="D289" s="1379"/>
      <c r="E289" s="1379"/>
      <c r="F289" s="1379"/>
      <c r="G289" s="1379"/>
      <c r="H289" s="1379"/>
      <c r="I289" s="1352">
        <f t="shared" si="149"/>
        <v>0</v>
      </c>
      <c r="J289" s="451">
        <f t="shared" si="144"/>
        <v>0</v>
      </c>
      <c r="K289" s="660">
        <f t="shared" si="145"/>
        <v>0</v>
      </c>
      <c r="L289" s="1137">
        <v>0</v>
      </c>
      <c r="M289" s="1137">
        <v>0</v>
      </c>
      <c r="N289" s="1347">
        <v>0</v>
      </c>
      <c r="O289" s="1349">
        <f t="shared" si="150"/>
        <v>0</v>
      </c>
      <c r="P289" s="1252"/>
      <c r="Q289" s="1252"/>
      <c r="R289" s="1473"/>
      <c r="S289" s="1350">
        <f t="shared" si="151"/>
        <v>0</v>
      </c>
      <c r="T289" s="451">
        <f t="shared" si="152"/>
        <v>0</v>
      </c>
      <c r="U289" s="451">
        <f t="shared" si="153"/>
        <v>0</v>
      </c>
      <c r="V289" s="1351">
        <f t="shared" si="154"/>
        <v>0</v>
      </c>
      <c r="W289" s="451">
        <f t="shared" si="155"/>
        <v>0</v>
      </c>
      <c r="X289" s="660">
        <f t="shared" si="156"/>
        <v>0</v>
      </c>
      <c r="Y289" s="1352"/>
      <c r="Z289" s="1137"/>
      <c r="AA289" s="1137"/>
      <c r="AB289" s="1348"/>
      <c r="AC289" s="1137"/>
      <c r="AD289" s="1347"/>
    </row>
    <row r="290" spans="1:44" s="293" customFormat="1" ht="14.25" hidden="1" customHeight="1">
      <c r="A290" s="1484"/>
      <c r="B290" s="1485"/>
      <c r="C290" s="1486"/>
      <c r="D290" s="1486"/>
      <c r="E290" s="1486"/>
      <c r="F290" s="1486"/>
      <c r="G290" s="1486"/>
      <c r="H290" s="1486"/>
      <c r="I290" s="1431"/>
      <c r="J290" s="1424"/>
      <c r="K290" s="1422"/>
      <c r="L290" s="1423"/>
      <c r="M290" s="1424"/>
      <c r="N290" s="1422"/>
      <c r="O290" s="1372"/>
      <c r="P290" s="1424"/>
      <c r="Q290" s="1424"/>
      <c r="R290" s="1422"/>
      <c r="S290" s="1429"/>
      <c r="T290" s="1430"/>
      <c r="U290" s="1430"/>
      <c r="V290" s="1351"/>
      <c r="W290" s="451"/>
      <c r="X290" s="660"/>
      <c r="Y290" s="1422"/>
      <c r="Z290" s="1424"/>
      <c r="AA290" s="1424"/>
      <c r="AB290" s="1348"/>
      <c r="AC290" s="1137"/>
      <c r="AD290" s="1347"/>
    </row>
    <row r="291" spans="1:44" s="326" customFormat="1" ht="25.5" customHeight="1">
      <c r="A291" s="1432" t="s">
        <v>1086</v>
      </c>
      <c r="B291" s="1487"/>
      <c r="C291" s="1436">
        <f t="shared" ref="C291:AD291" si="157">SUM(C221:C290)/2</f>
        <v>1293638000</v>
      </c>
      <c r="D291" s="1436">
        <f t="shared" si="157"/>
        <v>1018612000</v>
      </c>
      <c r="E291" s="1436">
        <f t="shared" si="157"/>
        <v>275026000</v>
      </c>
      <c r="F291" s="1436">
        <f t="shared" si="157"/>
        <v>583580000</v>
      </c>
      <c r="G291" s="1436">
        <f t="shared" si="157"/>
        <v>0</v>
      </c>
      <c r="H291" s="1436">
        <f t="shared" si="157"/>
        <v>710058000</v>
      </c>
      <c r="I291" s="1436">
        <f t="shared" si="157"/>
        <v>1309236450</v>
      </c>
      <c r="J291" s="1437">
        <f t="shared" si="157"/>
        <v>1030894000</v>
      </c>
      <c r="K291" s="1436">
        <f t="shared" si="157"/>
        <v>278342450</v>
      </c>
      <c r="L291" s="1438">
        <f t="shared" si="157"/>
        <v>599178450</v>
      </c>
      <c r="M291" s="1437">
        <f t="shared" si="157"/>
        <v>0</v>
      </c>
      <c r="N291" s="1439">
        <f t="shared" si="157"/>
        <v>710058000</v>
      </c>
      <c r="O291" s="1440">
        <f t="shared" si="157"/>
        <v>-25000</v>
      </c>
      <c r="P291" s="1436">
        <f t="shared" si="157"/>
        <v>0</v>
      </c>
      <c r="Q291" s="1437">
        <f t="shared" si="157"/>
        <v>0</v>
      </c>
      <c r="R291" s="1439">
        <f t="shared" si="157"/>
        <v>-25000</v>
      </c>
      <c r="S291" s="408">
        <f t="shared" si="157"/>
        <v>1329480810</v>
      </c>
      <c r="T291" s="1438">
        <f t="shared" si="157"/>
        <v>1046855156</v>
      </c>
      <c r="U291" s="1442">
        <f t="shared" si="157"/>
        <v>282651654</v>
      </c>
      <c r="V291" s="1436">
        <f t="shared" si="157"/>
        <v>619448810</v>
      </c>
      <c r="W291" s="1436">
        <f t="shared" si="157"/>
        <v>0</v>
      </c>
      <c r="X291" s="1436">
        <f t="shared" si="157"/>
        <v>710032000</v>
      </c>
      <c r="Y291" s="408">
        <f t="shared" si="157"/>
        <v>1288629666</v>
      </c>
      <c r="Z291" s="1441">
        <f t="shared" si="157"/>
        <v>1014457478</v>
      </c>
      <c r="AA291" s="1436">
        <f t="shared" si="157"/>
        <v>274172188</v>
      </c>
      <c r="AB291" s="1438">
        <f t="shared" si="157"/>
        <v>586217668</v>
      </c>
      <c r="AC291" s="1437">
        <f t="shared" si="157"/>
        <v>0</v>
      </c>
      <c r="AD291" s="1439">
        <f t="shared" si="157"/>
        <v>702411998</v>
      </c>
    </row>
    <row r="292" spans="1:44" ht="13.5" customHeight="1">
      <c r="A292" s="1488"/>
      <c r="B292" s="1254"/>
      <c r="C292" s="1137"/>
      <c r="D292" s="1137"/>
      <c r="E292" s="1137"/>
      <c r="F292" s="1137"/>
      <c r="G292" s="1137"/>
      <c r="H292" s="1137"/>
      <c r="I292" s="1489"/>
      <c r="J292" s="451"/>
      <c r="K292" s="451"/>
      <c r="L292" s="1490"/>
      <c r="M292" s="1491"/>
      <c r="N292" s="1492"/>
      <c r="O292" s="1372"/>
      <c r="P292" s="451"/>
      <c r="Q292" s="451"/>
      <c r="R292" s="660"/>
      <c r="S292" s="1351"/>
      <c r="T292" s="451"/>
      <c r="U292" s="660"/>
      <c r="V292" s="1351"/>
      <c r="W292" s="451"/>
      <c r="X292" s="660"/>
      <c r="Y292" s="1351"/>
      <c r="Z292" s="451"/>
      <c r="AA292" s="660"/>
      <c r="AB292" s="1351"/>
      <c r="AC292" s="451"/>
      <c r="AD292" s="660"/>
    </row>
    <row r="293" spans="1:44" s="97" customFormat="1" ht="18.75">
      <c r="A293" s="1493" t="s">
        <v>1087</v>
      </c>
      <c r="B293" s="1494"/>
      <c r="C293" s="1495">
        <f t="shared" ref="C293:AD293" si="158">C186+C220+C291</f>
        <v>1974613000</v>
      </c>
      <c r="D293" s="1495">
        <f t="shared" si="158"/>
        <v>1554813000</v>
      </c>
      <c r="E293" s="1495">
        <f t="shared" si="158"/>
        <v>419800000</v>
      </c>
      <c r="F293" s="1495">
        <f t="shared" si="158"/>
        <v>1264555000</v>
      </c>
      <c r="G293" s="1495">
        <f t="shared" si="158"/>
        <v>0</v>
      </c>
      <c r="H293" s="1495">
        <f t="shared" si="158"/>
        <v>710058000</v>
      </c>
      <c r="I293" s="1496">
        <f t="shared" si="158"/>
        <v>2099587219</v>
      </c>
      <c r="J293" s="1497">
        <f t="shared" si="158"/>
        <v>1653519129</v>
      </c>
      <c r="K293" s="1498">
        <f t="shared" si="158"/>
        <v>446068090</v>
      </c>
      <c r="L293" s="1499">
        <f t="shared" si="158"/>
        <v>1389529219</v>
      </c>
      <c r="M293" s="1500">
        <f t="shared" si="158"/>
        <v>0</v>
      </c>
      <c r="N293" s="1501">
        <f t="shared" si="158"/>
        <v>710058000</v>
      </c>
      <c r="O293" s="1499">
        <f t="shared" si="158"/>
        <v>-194847940</v>
      </c>
      <c r="P293" s="1500">
        <f t="shared" si="158"/>
        <v>-194822940</v>
      </c>
      <c r="Q293" s="1500">
        <f t="shared" si="158"/>
        <v>0</v>
      </c>
      <c r="R293" s="1501">
        <f t="shared" si="158"/>
        <v>-25000</v>
      </c>
      <c r="S293" s="1502">
        <f t="shared" si="158"/>
        <v>1888467205</v>
      </c>
      <c r="T293" s="1500">
        <f t="shared" si="158"/>
        <v>1487613661</v>
      </c>
      <c r="U293" s="1498">
        <f t="shared" si="158"/>
        <v>400879544</v>
      </c>
      <c r="V293" s="1499">
        <f t="shared" si="158"/>
        <v>1178435205</v>
      </c>
      <c r="W293" s="1500">
        <f t="shared" si="158"/>
        <v>0</v>
      </c>
      <c r="X293" s="1501">
        <f t="shared" si="158"/>
        <v>710032000</v>
      </c>
      <c r="Y293" s="1502">
        <f t="shared" si="158"/>
        <v>1781245354</v>
      </c>
      <c r="Z293" s="1500">
        <f t="shared" si="158"/>
        <v>1402955375</v>
      </c>
      <c r="AA293" s="1498">
        <f t="shared" si="158"/>
        <v>378289979</v>
      </c>
      <c r="AB293" s="1499">
        <f t="shared" si="158"/>
        <v>1078833356</v>
      </c>
      <c r="AC293" s="1500">
        <f t="shared" si="158"/>
        <v>0</v>
      </c>
      <c r="AD293" s="1501">
        <f t="shared" si="158"/>
        <v>702411998</v>
      </c>
      <c r="AE293" s="1503"/>
      <c r="AF293" s="1503"/>
      <c r="AG293" s="1503"/>
      <c r="AH293" s="1503"/>
      <c r="AI293" s="1503"/>
      <c r="AJ293" s="1503"/>
      <c r="AK293" s="1503"/>
      <c r="AL293" s="1503"/>
      <c r="AM293" s="1503"/>
      <c r="AN293" s="1503"/>
      <c r="AO293" s="1503"/>
      <c r="AP293" s="1503"/>
      <c r="AQ293" s="1503"/>
      <c r="AR293" s="1503"/>
    </row>
    <row r="294" spans="1:44" ht="15">
      <c r="C294" s="306"/>
      <c r="D294" s="306"/>
      <c r="E294" s="306"/>
      <c r="F294" s="306"/>
      <c r="G294" s="306"/>
      <c r="H294" s="306"/>
      <c r="I294" s="1504"/>
      <c r="J294" s="1504"/>
      <c r="K294" s="100"/>
      <c r="L294" s="100"/>
      <c r="M294" s="100"/>
      <c r="N294" s="100"/>
      <c r="O294" s="1505"/>
    </row>
    <row r="295" spans="1:44" ht="15">
      <c r="C295" s="306"/>
      <c r="D295" s="306"/>
      <c r="E295" s="306"/>
      <c r="F295" s="306"/>
      <c r="G295" s="306"/>
      <c r="H295" s="306"/>
      <c r="I295" s="1504"/>
      <c r="J295" s="1504"/>
      <c r="K295" s="100"/>
      <c r="L295" s="100"/>
      <c r="M295" s="100"/>
      <c r="N295" s="100"/>
      <c r="O295" s="1505"/>
    </row>
    <row r="296" spans="1:44" ht="15">
      <c r="C296" s="306"/>
      <c r="D296" s="306"/>
      <c r="E296" s="306"/>
      <c r="F296" s="306"/>
      <c r="G296" s="306"/>
      <c r="H296" s="306"/>
      <c r="I296" s="1504"/>
      <c r="J296" s="1504"/>
      <c r="K296" s="100"/>
      <c r="L296" s="100"/>
      <c r="M296" s="100"/>
      <c r="N296" s="100"/>
      <c r="O296" s="1505"/>
    </row>
    <row r="297" spans="1:44" ht="15">
      <c r="C297" s="306"/>
      <c r="D297" s="306"/>
      <c r="E297" s="306"/>
      <c r="F297" s="306"/>
      <c r="G297" s="306"/>
      <c r="H297" s="306"/>
      <c r="I297" s="1504"/>
      <c r="J297" s="1504"/>
      <c r="K297" s="100"/>
      <c r="L297" s="100"/>
      <c r="M297" s="100"/>
      <c r="N297" s="100"/>
      <c r="O297" s="1505"/>
    </row>
    <row r="298" spans="1:44" ht="15">
      <c r="C298" s="306"/>
      <c r="D298" s="306"/>
      <c r="E298" s="306"/>
      <c r="F298" s="306"/>
      <c r="G298" s="306"/>
      <c r="H298" s="306"/>
      <c r="I298" s="1504"/>
      <c r="J298" s="1504"/>
      <c r="K298" s="100"/>
      <c r="L298" s="100"/>
      <c r="M298" s="100"/>
      <c r="N298" s="100"/>
      <c r="O298" s="1505"/>
    </row>
    <row r="299" spans="1:44" ht="15">
      <c r="C299" s="306"/>
      <c r="D299" s="306"/>
      <c r="E299" s="306"/>
      <c r="F299" s="306"/>
      <c r="G299" s="306"/>
      <c r="H299" s="306"/>
      <c r="I299" s="1504"/>
      <c r="J299" s="1504"/>
      <c r="K299" s="100"/>
      <c r="L299" s="100"/>
      <c r="M299" s="100"/>
      <c r="N299" s="100"/>
      <c r="O299" s="1505"/>
    </row>
    <row r="300" spans="1:44" ht="15">
      <c r="C300" s="306"/>
      <c r="D300" s="306"/>
      <c r="E300" s="306"/>
      <c r="F300" s="306"/>
      <c r="G300" s="306"/>
      <c r="H300" s="306"/>
      <c r="I300" s="1504"/>
      <c r="J300" s="1504"/>
      <c r="K300" s="100"/>
      <c r="L300" s="100"/>
      <c r="M300" s="100"/>
      <c r="N300" s="100"/>
      <c r="O300" s="1505"/>
    </row>
    <row r="301" spans="1:44" ht="15">
      <c r="C301" s="306"/>
      <c r="D301" s="306"/>
      <c r="E301" s="306"/>
      <c r="F301" s="306"/>
      <c r="G301" s="306"/>
      <c r="H301" s="306"/>
      <c r="I301" s="1504"/>
      <c r="J301" s="1504"/>
      <c r="K301" s="100"/>
      <c r="L301" s="100"/>
      <c r="M301" s="100"/>
      <c r="N301" s="100"/>
      <c r="O301" s="1505"/>
    </row>
    <row r="302" spans="1:44" ht="15">
      <c r="C302" s="306"/>
      <c r="D302" s="306"/>
      <c r="E302" s="306"/>
      <c r="F302" s="306"/>
      <c r="G302" s="306"/>
      <c r="H302" s="306"/>
      <c r="I302" s="1504"/>
      <c r="J302" s="1504"/>
      <c r="K302" s="100"/>
      <c r="L302" s="100"/>
      <c r="M302" s="100"/>
      <c r="N302" s="100"/>
      <c r="O302" s="1505"/>
      <c r="P302" s="101"/>
      <c r="Q302" s="101"/>
      <c r="R302" s="101"/>
      <c r="S302" s="97"/>
      <c r="T302" s="97"/>
      <c r="U302" s="97"/>
      <c r="V302" s="97"/>
      <c r="W302" s="97"/>
      <c r="X302" s="97"/>
      <c r="Y302" s="101"/>
      <c r="Z302" s="101"/>
      <c r="AA302" s="101"/>
      <c r="AB302" s="101"/>
      <c r="AC302" s="101"/>
      <c r="AD302" s="101"/>
    </row>
    <row r="303" spans="1:44" ht="15">
      <c r="C303" s="306"/>
      <c r="D303" s="306"/>
      <c r="E303" s="306"/>
      <c r="F303" s="306"/>
      <c r="G303" s="306"/>
      <c r="H303" s="306"/>
      <c r="I303" s="1504"/>
      <c r="J303" s="1504"/>
      <c r="K303" s="100"/>
      <c r="L303" s="100"/>
      <c r="M303" s="100"/>
      <c r="N303" s="100"/>
      <c r="O303" s="1505"/>
      <c r="P303" s="101"/>
      <c r="Q303" s="101"/>
      <c r="R303" s="101"/>
      <c r="S303" s="97"/>
      <c r="T303" s="97"/>
      <c r="U303" s="97"/>
      <c r="V303" s="97"/>
      <c r="W303" s="97"/>
      <c r="X303" s="97"/>
      <c r="Y303" s="101"/>
      <c r="Z303" s="101"/>
      <c r="AA303" s="101"/>
      <c r="AB303" s="101"/>
      <c r="AC303" s="101"/>
      <c r="AD303" s="101"/>
    </row>
    <row r="304" spans="1:44" ht="15">
      <c r="C304" s="306"/>
      <c r="D304" s="306"/>
      <c r="E304" s="306"/>
      <c r="F304" s="306"/>
      <c r="G304" s="306"/>
      <c r="H304" s="306"/>
      <c r="I304" s="1504"/>
      <c r="J304" s="1504"/>
      <c r="K304" s="100"/>
      <c r="L304" s="100"/>
      <c r="M304" s="100"/>
      <c r="N304" s="100"/>
      <c r="O304" s="1505"/>
      <c r="P304" s="101"/>
      <c r="Q304" s="101"/>
      <c r="R304" s="101"/>
      <c r="S304" s="97"/>
      <c r="T304" s="97"/>
      <c r="U304" s="97"/>
      <c r="V304" s="97"/>
      <c r="W304" s="97"/>
      <c r="X304" s="97"/>
      <c r="Y304" s="101"/>
      <c r="Z304" s="101"/>
      <c r="AA304" s="101"/>
      <c r="AB304" s="101"/>
      <c r="AC304" s="101"/>
      <c r="AD304" s="101"/>
    </row>
    <row r="305" spans="3:24" s="101" customFormat="1" ht="15">
      <c r="C305" s="306"/>
      <c r="D305" s="306"/>
      <c r="E305" s="306"/>
      <c r="F305" s="306"/>
      <c r="G305" s="306"/>
      <c r="H305" s="306"/>
      <c r="I305" s="1504"/>
      <c r="J305" s="1504"/>
      <c r="K305" s="100"/>
      <c r="L305" s="100"/>
      <c r="M305" s="100"/>
      <c r="N305" s="100"/>
      <c r="O305" s="1505"/>
      <c r="S305" s="97"/>
      <c r="T305" s="97"/>
      <c r="U305" s="97"/>
      <c r="V305" s="97"/>
      <c r="W305" s="97"/>
      <c r="X305" s="97"/>
    </row>
    <row r="306" spans="3:24" s="101" customFormat="1" ht="15">
      <c r="C306" s="306"/>
      <c r="D306" s="306"/>
      <c r="E306" s="306"/>
      <c r="F306" s="306"/>
      <c r="G306" s="306"/>
      <c r="H306" s="306"/>
      <c r="I306" s="1504"/>
      <c r="J306" s="1504"/>
      <c r="K306" s="100"/>
      <c r="L306" s="100"/>
      <c r="M306" s="100"/>
      <c r="N306" s="100"/>
      <c r="O306" s="1505"/>
      <c r="S306" s="97"/>
      <c r="T306" s="97"/>
      <c r="U306" s="97"/>
      <c r="V306" s="97"/>
      <c r="W306" s="97"/>
      <c r="X306" s="97"/>
    </row>
    <row r="307" spans="3:24" s="101" customFormat="1" ht="15">
      <c r="C307" s="306"/>
      <c r="D307" s="306"/>
      <c r="E307" s="306"/>
      <c r="F307" s="306"/>
      <c r="G307" s="306"/>
      <c r="H307" s="306"/>
      <c r="I307" s="1504"/>
      <c r="J307" s="1504"/>
      <c r="K307" s="100"/>
      <c r="L307" s="100"/>
      <c r="M307" s="100"/>
      <c r="N307" s="100"/>
      <c r="O307" s="1505"/>
      <c r="S307" s="97"/>
      <c r="T307" s="97"/>
      <c r="U307" s="97"/>
      <c r="V307" s="97"/>
      <c r="W307" s="97"/>
      <c r="X307" s="97"/>
    </row>
    <row r="308" spans="3:24" s="101" customFormat="1" ht="15">
      <c r="C308" s="306"/>
      <c r="D308" s="306"/>
      <c r="E308" s="306"/>
      <c r="F308" s="306"/>
      <c r="G308" s="306"/>
      <c r="H308" s="306"/>
      <c r="I308" s="1504"/>
      <c r="J308" s="1504"/>
      <c r="K308" s="100"/>
      <c r="L308" s="100"/>
      <c r="M308" s="100"/>
      <c r="N308" s="100"/>
      <c r="O308" s="1505"/>
      <c r="S308" s="97"/>
      <c r="T308" s="97"/>
      <c r="U308" s="97"/>
      <c r="V308" s="97"/>
      <c r="W308" s="97"/>
      <c r="X308" s="97"/>
    </row>
    <row r="309" spans="3:24" s="101" customFormat="1" ht="15">
      <c r="C309" s="306"/>
      <c r="D309" s="306"/>
      <c r="E309" s="306"/>
      <c r="F309" s="306"/>
      <c r="G309" s="306"/>
      <c r="H309" s="306"/>
      <c r="I309" s="1504"/>
      <c r="J309" s="1504"/>
      <c r="K309" s="100"/>
      <c r="L309" s="100"/>
      <c r="M309" s="100"/>
      <c r="N309" s="100"/>
      <c r="O309" s="1505"/>
      <c r="S309" s="97"/>
      <c r="T309" s="97"/>
      <c r="U309" s="97"/>
      <c r="V309" s="97"/>
      <c r="W309" s="97"/>
      <c r="X309" s="97"/>
    </row>
    <row r="310" spans="3:24" s="101" customFormat="1" ht="15">
      <c r="C310" s="306"/>
      <c r="D310" s="306"/>
      <c r="E310" s="306"/>
      <c r="F310" s="306"/>
      <c r="G310" s="306"/>
      <c r="H310" s="306"/>
      <c r="I310" s="1504"/>
      <c r="J310" s="1504"/>
      <c r="K310" s="100"/>
      <c r="L310" s="100"/>
      <c r="M310" s="100"/>
      <c r="N310" s="100"/>
      <c r="O310" s="1505"/>
      <c r="S310" s="97"/>
      <c r="T310" s="97"/>
      <c r="U310" s="97"/>
      <c r="V310" s="97"/>
      <c r="W310" s="97"/>
      <c r="X310" s="97"/>
    </row>
    <row r="311" spans="3:24" s="101" customFormat="1" ht="15">
      <c r="C311" s="306"/>
      <c r="D311" s="306"/>
      <c r="E311" s="306"/>
      <c r="F311" s="306"/>
      <c r="G311" s="306"/>
      <c r="H311" s="306"/>
      <c r="I311" s="1504"/>
      <c r="J311" s="1504"/>
      <c r="K311" s="100"/>
      <c r="L311" s="100"/>
      <c r="M311" s="100"/>
      <c r="N311" s="100"/>
      <c r="O311" s="1505"/>
      <c r="S311" s="97"/>
      <c r="T311" s="97"/>
      <c r="U311" s="97"/>
      <c r="V311" s="97"/>
      <c r="W311" s="97"/>
      <c r="X311" s="97"/>
    </row>
    <row r="312" spans="3:24" s="101" customFormat="1" ht="15">
      <c r="C312" s="306"/>
      <c r="D312" s="306"/>
      <c r="E312" s="306"/>
      <c r="F312" s="306"/>
      <c r="G312" s="306"/>
      <c r="H312" s="306"/>
      <c r="I312" s="1504"/>
      <c r="J312" s="1504"/>
      <c r="K312" s="100"/>
      <c r="L312" s="100"/>
      <c r="M312" s="100"/>
      <c r="N312" s="100"/>
      <c r="O312" s="1505"/>
      <c r="S312" s="97"/>
      <c r="T312" s="97"/>
      <c r="U312" s="97"/>
      <c r="V312" s="97"/>
      <c r="W312" s="97"/>
      <c r="X312" s="97"/>
    </row>
    <row r="313" spans="3:24" s="101" customFormat="1" ht="15">
      <c r="C313" s="306"/>
      <c r="D313" s="306"/>
      <c r="E313" s="306"/>
      <c r="F313" s="306"/>
      <c r="G313" s="306"/>
      <c r="H313" s="306"/>
      <c r="I313" s="1504"/>
      <c r="J313" s="1504"/>
      <c r="K313" s="100"/>
      <c r="L313" s="100"/>
      <c r="M313" s="100"/>
      <c r="N313" s="100"/>
      <c r="O313" s="1505"/>
      <c r="S313" s="97"/>
      <c r="T313" s="97"/>
      <c r="U313" s="97"/>
      <c r="V313" s="97"/>
      <c r="W313" s="97"/>
      <c r="X313" s="97"/>
    </row>
    <row r="314" spans="3:24" s="101" customFormat="1" ht="15">
      <c r="C314" s="306"/>
      <c r="D314" s="306"/>
      <c r="E314" s="306"/>
      <c r="F314" s="306"/>
      <c r="G314" s="306"/>
      <c r="H314" s="306"/>
      <c r="I314" s="1504"/>
      <c r="J314" s="1504"/>
      <c r="K314" s="100"/>
      <c r="L314" s="100"/>
      <c r="M314" s="100"/>
      <c r="N314" s="100"/>
      <c r="O314" s="1505"/>
      <c r="S314" s="97"/>
      <c r="T314" s="97"/>
      <c r="U314" s="97"/>
      <c r="V314" s="97"/>
      <c r="W314" s="97"/>
      <c r="X314" s="97"/>
    </row>
    <row r="315" spans="3:24" s="101" customFormat="1" ht="15">
      <c r="C315" s="306"/>
      <c r="D315" s="306"/>
      <c r="E315" s="306"/>
      <c r="F315" s="306"/>
      <c r="G315" s="306"/>
      <c r="H315" s="306"/>
      <c r="I315" s="1504"/>
      <c r="J315" s="1504"/>
      <c r="K315" s="100"/>
      <c r="L315" s="100"/>
      <c r="M315" s="100"/>
      <c r="N315" s="100"/>
      <c r="O315" s="1505"/>
      <c r="S315" s="97"/>
      <c r="T315" s="97"/>
      <c r="U315" s="97"/>
      <c r="V315" s="97"/>
      <c r="W315" s="97"/>
      <c r="X315" s="97"/>
    </row>
    <row r="316" spans="3:24" s="101" customFormat="1" ht="15">
      <c r="C316" s="306"/>
      <c r="D316" s="306"/>
      <c r="E316" s="306"/>
      <c r="F316" s="306"/>
      <c r="G316" s="306"/>
      <c r="H316" s="306"/>
      <c r="I316" s="1504"/>
      <c r="J316" s="1504"/>
      <c r="K316" s="100"/>
      <c r="L316" s="100"/>
      <c r="M316" s="100"/>
      <c r="N316" s="100"/>
      <c r="O316" s="1505"/>
      <c r="S316" s="97"/>
      <c r="T316" s="97"/>
      <c r="U316" s="97"/>
      <c r="V316" s="97"/>
      <c r="W316" s="97"/>
      <c r="X316" s="97"/>
    </row>
    <row r="317" spans="3:24" s="101" customFormat="1" ht="15">
      <c r="C317" s="306"/>
      <c r="D317" s="306"/>
      <c r="E317" s="306"/>
      <c r="F317" s="306"/>
      <c r="G317" s="306"/>
      <c r="H317" s="306"/>
      <c r="I317" s="1504"/>
      <c r="J317" s="1504"/>
      <c r="K317" s="100"/>
      <c r="L317" s="100"/>
      <c r="M317" s="100"/>
      <c r="N317" s="100"/>
      <c r="O317" s="1505"/>
      <c r="S317" s="97"/>
      <c r="T317" s="97"/>
      <c r="U317" s="97"/>
      <c r="V317" s="97"/>
      <c r="W317" s="97"/>
      <c r="X317" s="97"/>
    </row>
    <row r="318" spans="3:24" s="101" customFormat="1" ht="15">
      <c r="C318" s="306"/>
      <c r="D318" s="306"/>
      <c r="E318" s="306"/>
      <c r="F318" s="306"/>
      <c r="G318" s="306"/>
      <c r="H318" s="306"/>
      <c r="I318" s="1504"/>
      <c r="J318" s="1504"/>
      <c r="K318" s="100"/>
      <c r="L318" s="100"/>
      <c r="M318" s="100"/>
      <c r="N318" s="100"/>
      <c r="O318" s="1505"/>
      <c r="S318" s="97"/>
      <c r="T318" s="97"/>
      <c r="U318" s="97"/>
      <c r="V318" s="97"/>
      <c r="W318" s="97"/>
      <c r="X318" s="97"/>
    </row>
    <row r="319" spans="3:24" s="101" customFormat="1" ht="15">
      <c r="C319" s="306"/>
      <c r="D319" s="306"/>
      <c r="E319" s="306"/>
      <c r="F319" s="306"/>
      <c r="G319" s="306"/>
      <c r="H319" s="306"/>
      <c r="I319" s="1504"/>
      <c r="J319" s="1504"/>
      <c r="K319" s="100"/>
      <c r="L319" s="100"/>
      <c r="M319" s="100"/>
      <c r="N319" s="100"/>
      <c r="O319" s="1505"/>
      <c r="S319" s="97"/>
      <c r="T319" s="97"/>
      <c r="U319" s="97"/>
      <c r="V319" s="97"/>
      <c r="W319" s="97"/>
      <c r="X319" s="97"/>
    </row>
    <row r="320" spans="3:24" s="101" customFormat="1" ht="15">
      <c r="C320" s="306"/>
      <c r="D320" s="306"/>
      <c r="E320" s="306"/>
      <c r="F320" s="306"/>
      <c r="G320" s="306"/>
      <c r="H320" s="306"/>
      <c r="I320" s="1504"/>
      <c r="J320" s="1504"/>
      <c r="K320" s="100"/>
      <c r="L320" s="100"/>
      <c r="M320" s="100"/>
      <c r="N320" s="100"/>
      <c r="O320" s="1505"/>
      <c r="S320" s="97"/>
      <c r="T320" s="97"/>
      <c r="U320" s="97"/>
      <c r="V320" s="97"/>
      <c r="W320" s="97"/>
      <c r="X320" s="97"/>
    </row>
    <row r="321" spans="3:24" s="101" customFormat="1" ht="15">
      <c r="C321" s="306"/>
      <c r="D321" s="306"/>
      <c r="E321" s="306"/>
      <c r="F321" s="306"/>
      <c r="G321" s="306"/>
      <c r="H321" s="306"/>
      <c r="I321" s="1504"/>
      <c r="J321" s="1504"/>
      <c r="K321" s="100"/>
      <c r="L321" s="100"/>
      <c r="M321" s="100"/>
      <c r="N321" s="100"/>
      <c r="O321" s="1505"/>
      <c r="S321" s="97"/>
      <c r="T321" s="97"/>
      <c r="U321" s="97"/>
      <c r="V321" s="97"/>
      <c r="W321" s="97"/>
      <c r="X321" s="97"/>
    </row>
    <row r="322" spans="3:24" s="101" customFormat="1" ht="15">
      <c r="C322" s="306"/>
      <c r="D322" s="306"/>
      <c r="E322" s="306"/>
      <c r="F322" s="306"/>
      <c r="G322" s="306"/>
      <c r="H322" s="306"/>
      <c r="I322" s="1504"/>
      <c r="J322" s="1504"/>
      <c r="K322" s="100"/>
      <c r="L322" s="100"/>
      <c r="M322" s="100"/>
      <c r="N322" s="100"/>
      <c r="O322" s="1505"/>
      <c r="S322" s="97"/>
      <c r="T322" s="97"/>
      <c r="U322" s="97"/>
      <c r="V322" s="97"/>
      <c r="W322" s="97"/>
      <c r="X322" s="97"/>
    </row>
    <row r="323" spans="3:24" s="101" customFormat="1" ht="15">
      <c r="C323" s="306"/>
      <c r="D323" s="306"/>
      <c r="E323" s="306"/>
      <c r="F323" s="306"/>
      <c r="G323" s="306"/>
      <c r="H323" s="306"/>
      <c r="I323" s="1504"/>
      <c r="J323" s="1504"/>
      <c r="K323" s="100"/>
      <c r="L323" s="100"/>
      <c r="M323" s="100"/>
      <c r="N323" s="100"/>
      <c r="O323" s="1505"/>
      <c r="S323" s="97"/>
      <c r="T323" s="97"/>
      <c r="U323" s="97"/>
      <c r="V323" s="97"/>
      <c r="W323" s="97"/>
      <c r="X323" s="97"/>
    </row>
    <row r="324" spans="3:24" s="101" customFormat="1" ht="15">
      <c r="C324" s="306"/>
      <c r="D324" s="306"/>
      <c r="E324" s="306"/>
      <c r="F324" s="306"/>
      <c r="G324" s="306"/>
      <c r="H324" s="306"/>
      <c r="I324" s="1504"/>
      <c r="J324" s="1504"/>
      <c r="K324" s="100"/>
      <c r="L324" s="100"/>
      <c r="M324" s="100"/>
      <c r="N324" s="100"/>
      <c r="O324" s="1505"/>
      <c r="S324" s="97"/>
      <c r="T324" s="97"/>
      <c r="U324" s="97"/>
      <c r="V324" s="97"/>
      <c r="W324" s="97"/>
      <c r="X324" s="97"/>
    </row>
    <row r="325" spans="3:24" s="101" customFormat="1" ht="15">
      <c r="C325" s="306"/>
      <c r="D325" s="306"/>
      <c r="E325" s="306"/>
      <c r="F325" s="306"/>
      <c r="G325" s="306"/>
      <c r="H325" s="306"/>
      <c r="I325" s="1504"/>
      <c r="J325" s="1504"/>
      <c r="K325" s="100"/>
      <c r="L325" s="100"/>
      <c r="M325" s="100"/>
      <c r="N325" s="100"/>
      <c r="O325" s="1505"/>
      <c r="S325" s="97"/>
      <c r="T325" s="97"/>
      <c r="U325" s="97"/>
      <c r="V325" s="97"/>
      <c r="W325" s="97"/>
      <c r="X325" s="97"/>
    </row>
    <row r="326" spans="3:24" s="101" customFormat="1" ht="15">
      <c r="C326" s="306"/>
      <c r="D326" s="306"/>
      <c r="E326" s="306"/>
      <c r="F326" s="306"/>
      <c r="G326" s="306"/>
      <c r="H326" s="306"/>
      <c r="I326" s="1504"/>
      <c r="J326" s="1504"/>
      <c r="K326" s="100"/>
      <c r="L326" s="100"/>
      <c r="M326" s="100"/>
      <c r="N326" s="100"/>
      <c r="O326" s="1505"/>
      <c r="S326" s="97"/>
      <c r="T326" s="97"/>
      <c r="U326" s="97"/>
      <c r="V326" s="97"/>
      <c r="W326" s="97"/>
      <c r="X326" s="97"/>
    </row>
    <row r="327" spans="3:24" s="101" customFormat="1" ht="15">
      <c r="C327" s="306"/>
      <c r="D327" s="306"/>
      <c r="E327" s="306"/>
      <c r="F327" s="306"/>
      <c r="G327" s="306"/>
      <c r="H327" s="306"/>
      <c r="I327" s="1504"/>
      <c r="J327" s="1504"/>
      <c r="K327" s="100"/>
      <c r="L327" s="100"/>
      <c r="M327" s="100"/>
      <c r="N327" s="100"/>
      <c r="O327" s="1505"/>
      <c r="S327" s="97"/>
      <c r="T327" s="97"/>
      <c r="U327" s="97"/>
      <c r="V327" s="97"/>
      <c r="W327" s="97"/>
      <c r="X327" s="97"/>
    </row>
    <row r="328" spans="3:24" s="101" customFormat="1" ht="15">
      <c r="C328" s="306"/>
      <c r="D328" s="306"/>
      <c r="E328" s="306"/>
      <c r="F328" s="306"/>
      <c r="G328" s="306"/>
      <c r="H328" s="306"/>
      <c r="I328" s="1504"/>
      <c r="J328" s="1504"/>
      <c r="K328" s="100"/>
      <c r="L328" s="100"/>
      <c r="M328" s="100"/>
      <c r="N328" s="100"/>
      <c r="O328" s="1505"/>
      <c r="S328" s="97"/>
      <c r="T328" s="97"/>
      <c r="U328" s="97"/>
      <c r="V328" s="97"/>
      <c r="W328" s="97"/>
      <c r="X328" s="97"/>
    </row>
    <row r="329" spans="3:24" s="101" customFormat="1" ht="15">
      <c r="C329" s="306"/>
      <c r="D329" s="306"/>
      <c r="E329" s="306"/>
      <c r="F329" s="306"/>
      <c r="G329" s="306"/>
      <c r="H329" s="306"/>
      <c r="I329" s="1504"/>
      <c r="J329" s="1504"/>
      <c r="K329" s="100"/>
      <c r="L329" s="100"/>
      <c r="M329" s="100"/>
      <c r="N329" s="100"/>
      <c r="O329" s="1505"/>
      <c r="S329" s="97"/>
      <c r="T329" s="97"/>
      <c r="U329" s="97"/>
      <c r="V329" s="97"/>
      <c r="W329" s="97"/>
      <c r="X329" s="97"/>
    </row>
    <row r="330" spans="3:24" s="101" customFormat="1" ht="15">
      <c r="C330" s="306"/>
      <c r="D330" s="306"/>
      <c r="E330" s="306"/>
      <c r="F330" s="306"/>
      <c r="G330" s="306"/>
      <c r="H330" s="306"/>
      <c r="I330" s="1504"/>
      <c r="J330" s="1504"/>
      <c r="K330" s="100"/>
      <c r="L330" s="100"/>
      <c r="M330" s="100"/>
      <c r="N330" s="100"/>
      <c r="O330" s="1505"/>
      <c r="S330" s="97"/>
      <c r="T330" s="97"/>
      <c r="U330" s="97"/>
      <c r="V330" s="97"/>
      <c r="W330" s="97"/>
      <c r="X330" s="97"/>
    </row>
    <row r="331" spans="3:24" s="101" customFormat="1" ht="15">
      <c r="C331" s="306"/>
      <c r="D331" s="306"/>
      <c r="E331" s="306"/>
      <c r="F331" s="306"/>
      <c r="G331" s="306"/>
      <c r="H331" s="306"/>
      <c r="I331" s="1504"/>
      <c r="J331" s="1504"/>
      <c r="K331" s="100"/>
      <c r="L331" s="100"/>
      <c r="M331" s="100"/>
      <c r="N331" s="100"/>
      <c r="O331" s="1505"/>
      <c r="S331" s="97"/>
      <c r="T331" s="97"/>
      <c r="U331" s="97"/>
      <c r="V331" s="97"/>
      <c r="W331" s="97"/>
      <c r="X331" s="97"/>
    </row>
    <row r="332" spans="3:24" s="101" customFormat="1" ht="15">
      <c r="C332" s="306"/>
      <c r="D332" s="306"/>
      <c r="E332" s="306"/>
      <c r="F332" s="306"/>
      <c r="G332" s="306"/>
      <c r="H332" s="306"/>
      <c r="I332" s="1504"/>
      <c r="J332" s="1504"/>
      <c r="K332" s="100"/>
      <c r="L332" s="100"/>
      <c r="M332" s="100"/>
      <c r="N332" s="100"/>
      <c r="O332" s="1505"/>
      <c r="S332" s="97"/>
      <c r="T332" s="97"/>
      <c r="U332" s="97"/>
      <c r="V332" s="97"/>
      <c r="W332" s="97"/>
      <c r="X332" s="97"/>
    </row>
    <row r="333" spans="3:24" s="101" customFormat="1" ht="15">
      <c r="C333" s="306"/>
      <c r="D333" s="306"/>
      <c r="E333" s="306"/>
      <c r="F333" s="306"/>
      <c r="G333" s="306"/>
      <c r="H333" s="306"/>
      <c r="I333" s="1504"/>
      <c r="J333" s="1504"/>
      <c r="K333" s="100"/>
      <c r="L333" s="100"/>
      <c r="M333" s="100"/>
      <c r="N333" s="100"/>
      <c r="O333" s="1505"/>
      <c r="S333" s="97"/>
      <c r="T333" s="97"/>
      <c r="U333" s="97"/>
      <c r="V333" s="97"/>
      <c r="W333" s="97"/>
      <c r="X333" s="97"/>
    </row>
    <row r="334" spans="3:24" s="101" customFormat="1" ht="15">
      <c r="C334" s="306"/>
      <c r="D334" s="306"/>
      <c r="E334" s="306"/>
      <c r="F334" s="306"/>
      <c r="G334" s="306"/>
      <c r="H334" s="306"/>
      <c r="I334" s="1504"/>
      <c r="J334" s="1504"/>
      <c r="K334" s="100"/>
      <c r="L334" s="100"/>
      <c r="M334" s="100"/>
      <c r="N334" s="100"/>
      <c r="O334" s="1505"/>
      <c r="S334" s="97"/>
      <c r="T334" s="97"/>
      <c r="U334" s="97"/>
      <c r="V334" s="97"/>
      <c r="W334" s="97"/>
      <c r="X334" s="97"/>
    </row>
    <row r="335" spans="3:24" s="101" customFormat="1" ht="15">
      <c r="C335" s="306"/>
      <c r="D335" s="306"/>
      <c r="E335" s="306"/>
      <c r="F335" s="306"/>
      <c r="G335" s="306"/>
      <c r="H335" s="306"/>
      <c r="I335" s="1504"/>
      <c r="J335" s="1504"/>
      <c r="K335" s="100"/>
      <c r="L335" s="100"/>
      <c r="M335" s="100"/>
      <c r="N335" s="100"/>
      <c r="O335" s="1505"/>
      <c r="S335" s="97"/>
      <c r="T335" s="97"/>
      <c r="U335" s="97"/>
      <c r="V335" s="97"/>
      <c r="W335" s="97"/>
      <c r="X335" s="97"/>
    </row>
    <row r="336" spans="3:24" s="101" customFormat="1" ht="15">
      <c r="C336" s="306"/>
      <c r="D336" s="306"/>
      <c r="E336" s="306"/>
      <c r="F336" s="306"/>
      <c r="G336" s="306"/>
      <c r="H336" s="306"/>
      <c r="I336" s="1504"/>
      <c r="J336" s="1504"/>
      <c r="K336" s="100"/>
      <c r="L336" s="100"/>
      <c r="M336" s="100"/>
      <c r="N336" s="100"/>
      <c r="O336" s="1505"/>
      <c r="S336" s="97"/>
      <c r="T336" s="97"/>
      <c r="U336" s="97"/>
      <c r="V336" s="97"/>
      <c r="W336" s="97"/>
      <c r="X336" s="97"/>
    </row>
    <row r="337" spans="3:24" s="101" customFormat="1" ht="15">
      <c r="C337" s="306"/>
      <c r="D337" s="306"/>
      <c r="E337" s="306"/>
      <c r="F337" s="306"/>
      <c r="G337" s="306"/>
      <c r="H337" s="306"/>
      <c r="I337" s="1504"/>
      <c r="J337" s="1504"/>
      <c r="K337" s="100"/>
      <c r="L337" s="100"/>
      <c r="M337" s="100"/>
      <c r="N337" s="100"/>
      <c r="O337" s="1505"/>
      <c r="S337" s="97"/>
      <c r="T337" s="97"/>
      <c r="U337" s="97"/>
      <c r="V337" s="97"/>
      <c r="W337" s="97"/>
      <c r="X337" s="97"/>
    </row>
    <row r="338" spans="3:24" s="101" customFormat="1" ht="15">
      <c r="C338" s="306"/>
      <c r="D338" s="306"/>
      <c r="E338" s="306"/>
      <c r="F338" s="306"/>
      <c r="G338" s="306"/>
      <c r="H338" s="306"/>
      <c r="I338" s="1504"/>
      <c r="J338" s="1504"/>
      <c r="K338" s="100"/>
      <c r="L338" s="100"/>
      <c r="M338" s="100"/>
      <c r="N338" s="100"/>
      <c r="O338" s="1505"/>
      <c r="S338" s="97"/>
      <c r="T338" s="97"/>
      <c r="U338" s="97"/>
      <c r="V338" s="97"/>
      <c r="W338" s="97"/>
      <c r="X338" s="97"/>
    </row>
    <row r="339" spans="3:24" s="101" customFormat="1" ht="15">
      <c r="C339" s="306"/>
      <c r="D339" s="306"/>
      <c r="E339" s="306"/>
      <c r="F339" s="306"/>
      <c r="G339" s="306"/>
      <c r="H339" s="306"/>
      <c r="I339" s="1504"/>
      <c r="J339" s="1504"/>
      <c r="K339" s="100"/>
      <c r="L339" s="100"/>
      <c r="M339" s="100"/>
      <c r="N339" s="100"/>
      <c r="O339" s="1505"/>
      <c r="S339" s="97"/>
      <c r="T339" s="97"/>
      <c r="U339" s="97"/>
      <c r="V339" s="97"/>
      <c r="W339" s="97"/>
      <c r="X339" s="97"/>
    </row>
    <row r="340" spans="3:24" s="101" customFormat="1" ht="15">
      <c r="C340" s="306"/>
      <c r="D340" s="306"/>
      <c r="E340" s="306"/>
      <c r="F340" s="306"/>
      <c r="G340" s="306"/>
      <c r="H340" s="306"/>
      <c r="I340" s="1504"/>
      <c r="J340" s="1504"/>
      <c r="K340" s="100"/>
      <c r="L340" s="100"/>
      <c r="M340" s="100"/>
      <c r="N340" s="100"/>
      <c r="O340" s="1505"/>
      <c r="S340" s="97"/>
      <c r="T340" s="97"/>
      <c r="U340" s="97"/>
      <c r="V340" s="97"/>
      <c r="W340" s="97"/>
      <c r="X340" s="97"/>
    </row>
    <row r="341" spans="3:24" s="101" customFormat="1" ht="15">
      <c r="C341" s="306"/>
      <c r="D341" s="306"/>
      <c r="E341" s="306"/>
      <c r="F341" s="306"/>
      <c r="G341" s="306"/>
      <c r="H341" s="306"/>
      <c r="I341" s="1504"/>
      <c r="J341" s="1504"/>
      <c r="K341" s="100"/>
      <c r="L341" s="100"/>
      <c r="M341" s="100"/>
      <c r="N341" s="100"/>
      <c r="O341" s="1505"/>
      <c r="S341" s="97"/>
      <c r="T341" s="97"/>
      <c r="U341" s="97"/>
      <c r="V341" s="97"/>
      <c r="W341" s="97"/>
      <c r="X341" s="97"/>
    </row>
    <row r="342" spans="3:24" s="101" customFormat="1" ht="15">
      <c r="C342" s="306"/>
      <c r="D342" s="306"/>
      <c r="E342" s="306"/>
      <c r="F342" s="306"/>
      <c r="G342" s="306"/>
      <c r="H342" s="306"/>
      <c r="I342" s="1504"/>
      <c r="J342" s="1504"/>
      <c r="K342" s="100"/>
      <c r="L342" s="100"/>
      <c r="M342" s="100"/>
      <c r="N342" s="100"/>
      <c r="O342" s="1505"/>
      <c r="S342" s="97"/>
      <c r="T342" s="97"/>
      <c r="U342" s="97"/>
      <c r="V342" s="97"/>
      <c r="W342" s="97"/>
      <c r="X342" s="97"/>
    </row>
    <row r="343" spans="3:24" s="101" customFormat="1" ht="15">
      <c r="C343" s="306"/>
      <c r="D343" s="306"/>
      <c r="E343" s="306"/>
      <c r="F343" s="306"/>
      <c r="G343" s="306"/>
      <c r="H343" s="306"/>
      <c r="I343" s="1504"/>
      <c r="J343" s="1504"/>
      <c r="K343" s="100"/>
      <c r="L343" s="100"/>
      <c r="M343" s="100"/>
      <c r="N343" s="100"/>
      <c r="O343" s="1505"/>
      <c r="S343" s="97"/>
      <c r="T343" s="97"/>
      <c r="U343" s="97"/>
      <c r="V343" s="97"/>
      <c r="W343" s="97"/>
      <c r="X343" s="97"/>
    </row>
    <row r="344" spans="3:24" s="101" customFormat="1" ht="15">
      <c r="C344" s="306"/>
      <c r="D344" s="306"/>
      <c r="E344" s="306"/>
      <c r="F344" s="306"/>
      <c r="G344" s="306"/>
      <c r="H344" s="306"/>
      <c r="I344" s="1504"/>
      <c r="J344" s="1504"/>
      <c r="K344" s="100"/>
      <c r="L344" s="100"/>
      <c r="M344" s="100"/>
      <c r="N344" s="100"/>
      <c r="O344" s="1505"/>
      <c r="S344" s="97"/>
      <c r="T344" s="97"/>
      <c r="U344" s="97"/>
      <c r="V344" s="97"/>
      <c r="W344" s="97"/>
      <c r="X344" s="97"/>
    </row>
    <row r="345" spans="3:24" s="101" customFormat="1" ht="15">
      <c r="C345" s="306"/>
      <c r="D345" s="306"/>
      <c r="E345" s="306"/>
      <c r="F345" s="306"/>
      <c r="G345" s="306"/>
      <c r="H345" s="306"/>
      <c r="I345" s="1504"/>
      <c r="J345" s="1504"/>
      <c r="K345" s="100"/>
      <c r="L345" s="100"/>
      <c r="M345" s="100"/>
      <c r="N345" s="100"/>
      <c r="O345" s="1505"/>
      <c r="S345" s="97"/>
      <c r="T345" s="97"/>
      <c r="U345" s="97"/>
      <c r="V345" s="97"/>
      <c r="W345" s="97"/>
      <c r="X345" s="97"/>
    </row>
    <row r="346" spans="3:24" s="101" customFormat="1" ht="15">
      <c r="C346" s="306"/>
      <c r="D346" s="306"/>
      <c r="E346" s="306"/>
      <c r="F346" s="306"/>
      <c r="G346" s="306"/>
      <c r="H346" s="306"/>
      <c r="I346" s="1504"/>
      <c r="J346" s="1504"/>
      <c r="K346" s="100"/>
      <c r="L346" s="100"/>
      <c r="M346" s="100"/>
      <c r="N346" s="100"/>
      <c r="O346" s="1505"/>
      <c r="S346" s="97"/>
      <c r="T346" s="97"/>
      <c r="U346" s="97"/>
      <c r="V346" s="97"/>
      <c r="W346" s="97"/>
      <c r="X346" s="97"/>
    </row>
    <row r="347" spans="3:24" s="101" customFormat="1" ht="15">
      <c r="C347" s="306"/>
      <c r="D347" s="306"/>
      <c r="E347" s="306"/>
      <c r="F347" s="306"/>
      <c r="G347" s="306"/>
      <c r="H347" s="306"/>
      <c r="I347" s="1504"/>
      <c r="J347" s="1504"/>
      <c r="K347" s="100"/>
      <c r="L347" s="100"/>
      <c r="M347" s="100"/>
      <c r="N347" s="100"/>
      <c r="O347" s="1505"/>
      <c r="S347" s="97"/>
      <c r="T347" s="97"/>
      <c r="U347" s="97"/>
      <c r="V347" s="97"/>
      <c r="W347" s="97"/>
      <c r="X347" s="97"/>
    </row>
    <row r="348" spans="3:24" s="101" customFormat="1" ht="15">
      <c r="C348" s="306"/>
      <c r="D348" s="306"/>
      <c r="E348" s="306"/>
      <c r="F348" s="306"/>
      <c r="G348" s="306"/>
      <c r="H348" s="306"/>
      <c r="I348" s="1504"/>
      <c r="J348" s="1504"/>
      <c r="K348" s="100"/>
      <c r="L348" s="100"/>
      <c r="M348" s="100"/>
      <c r="N348" s="100"/>
      <c r="O348" s="1505"/>
      <c r="S348" s="97"/>
      <c r="T348" s="97"/>
      <c r="U348" s="97"/>
      <c r="V348" s="97"/>
      <c r="W348" s="97"/>
      <c r="X348" s="97"/>
    </row>
    <row r="349" spans="3:24" s="101" customFormat="1" ht="15">
      <c r="C349" s="306"/>
      <c r="D349" s="306"/>
      <c r="E349" s="306"/>
      <c r="F349" s="306"/>
      <c r="G349" s="306"/>
      <c r="H349" s="306"/>
      <c r="I349" s="1504"/>
      <c r="J349" s="1504"/>
      <c r="K349" s="100"/>
      <c r="L349" s="100"/>
      <c r="M349" s="100"/>
      <c r="N349" s="100"/>
      <c r="O349" s="1505"/>
      <c r="S349" s="97"/>
      <c r="T349" s="97"/>
      <c r="U349" s="97"/>
      <c r="V349" s="97"/>
      <c r="W349" s="97"/>
      <c r="X349" s="97"/>
    </row>
    <row r="350" spans="3:24" s="101" customFormat="1" ht="15">
      <c r="C350" s="306"/>
      <c r="D350" s="306"/>
      <c r="E350" s="306"/>
      <c r="F350" s="306"/>
      <c r="G350" s="306"/>
      <c r="H350" s="306"/>
      <c r="I350" s="1504"/>
      <c r="J350" s="1504"/>
      <c r="K350" s="100"/>
      <c r="L350" s="100"/>
      <c r="M350" s="100"/>
      <c r="N350" s="100"/>
      <c r="O350" s="1505"/>
      <c r="S350" s="97"/>
      <c r="T350" s="97"/>
      <c r="U350" s="97"/>
      <c r="V350" s="97"/>
      <c r="W350" s="97"/>
      <c r="X350" s="97"/>
    </row>
    <row r="351" spans="3:24" s="101" customFormat="1" ht="15">
      <c r="C351" s="306"/>
      <c r="D351" s="306"/>
      <c r="E351" s="306"/>
      <c r="F351" s="306"/>
      <c r="G351" s="306"/>
      <c r="H351" s="306"/>
      <c r="I351" s="1504"/>
      <c r="J351" s="1504"/>
      <c r="K351" s="100"/>
      <c r="L351" s="100"/>
      <c r="M351" s="100"/>
      <c r="N351" s="100"/>
      <c r="O351" s="1505"/>
      <c r="S351" s="97"/>
      <c r="T351" s="97"/>
      <c r="U351" s="97"/>
      <c r="V351" s="97"/>
      <c r="W351" s="97"/>
      <c r="X351" s="97"/>
    </row>
    <row r="352" spans="3:24" s="101" customFormat="1" ht="15">
      <c r="C352" s="306"/>
      <c r="D352" s="306"/>
      <c r="E352" s="306"/>
      <c r="F352" s="306"/>
      <c r="G352" s="306"/>
      <c r="H352" s="306"/>
      <c r="I352" s="1504"/>
      <c r="J352" s="1504"/>
      <c r="K352" s="100"/>
      <c r="L352" s="100"/>
      <c r="M352" s="100"/>
      <c r="N352" s="100"/>
      <c r="O352" s="1505"/>
      <c r="S352" s="97"/>
      <c r="T352" s="97"/>
      <c r="U352" s="97"/>
      <c r="V352" s="97"/>
      <c r="W352" s="97"/>
      <c r="X352" s="97"/>
    </row>
    <row r="353" spans="3:24" s="101" customFormat="1" ht="15">
      <c r="C353" s="306"/>
      <c r="D353" s="306"/>
      <c r="E353" s="306"/>
      <c r="F353" s="306"/>
      <c r="G353" s="306"/>
      <c r="H353" s="306"/>
      <c r="I353" s="1504"/>
      <c r="J353" s="1504"/>
      <c r="K353" s="100"/>
      <c r="L353" s="100"/>
      <c r="M353" s="100"/>
      <c r="N353" s="100"/>
      <c r="O353" s="1505"/>
      <c r="S353" s="97"/>
      <c r="T353" s="97"/>
      <c r="U353" s="97"/>
      <c r="V353" s="97"/>
      <c r="W353" s="97"/>
      <c r="X353" s="97"/>
    </row>
    <row r="354" spans="3:24" s="101" customFormat="1" ht="15">
      <c r="C354" s="306"/>
      <c r="D354" s="306"/>
      <c r="E354" s="306"/>
      <c r="F354" s="306"/>
      <c r="G354" s="306"/>
      <c r="H354" s="306"/>
      <c r="I354" s="1504"/>
      <c r="J354" s="1504"/>
      <c r="K354" s="100"/>
      <c r="L354" s="100"/>
      <c r="M354" s="100"/>
      <c r="N354" s="100"/>
      <c r="O354" s="1505"/>
      <c r="S354" s="97"/>
      <c r="T354" s="97"/>
      <c r="U354" s="97"/>
      <c r="V354" s="97"/>
      <c r="W354" s="97"/>
      <c r="X354" s="97"/>
    </row>
    <row r="355" spans="3:24" s="101" customFormat="1" ht="15">
      <c r="C355" s="306"/>
      <c r="D355" s="306"/>
      <c r="E355" s="306"/>
      <c r="F355" s="306"/>
      <c r="G355" s="306"/>
      <c r="H355" s="306"/>
      <c r="I355" s="1504"/>
      <c r="J355" s="1504"/>
      <c r="K355" s="100"/>
      <c r="L355" s="100"/>
      <c r="M355" s="100"/>
      <c r="N355" s="100"/>
      <c r="O355" s="1505"/>
      <c r="S355" s="97"/>
      <c r="T355" s="97"/>
      <c r="U355" s="97"/>
      <c r="V355" s="97"/>
      <c r="W355" s="97"/>
      <c r="X355" s="97"/>
    </row>
    <row r="356" spans="3:24" s="101" customFormat="1" ht="15">
      <c r="C356" s="306"/>
      <c r="D356" s="306"/>
      <c r="E356" s="306"/>
      <c r="F356" s="306"/>
      <c r="G356" s="306"/>
      <c r="H356" s="306"/>
      <c r="I356" s="1504"/>
      <c r="J356" s="1504"/>
      <c r="K356" s="100"/>
      <c r="L356" s="100"/>
      <c r="M356" s="100"/>
      <c r="N356" s="100"/>
      <c r="O356" s="1505"/>
      <c r="S356" s="97"/>
      <c r="T356" s="97"/>
      <c r="U356" s="97"/>
      <c r="V356" s="97"/>
      <c r="W356" s="97"/>
      <c r="X356" s="97"/>
    </row>
    <row r="357" spans="3:24" s="101" customFormat="1" ht="15">
      <c r="C357" s="306"/>
      <c r="D357" s="306"/>
      <c r="E357" s="306"/>
      <c r="F357" s="306"/>
      <c r="G357" s="306"/>
      <c r="H357" s="306"/>
      <c r="I357" s="1504"/>
      <c r="J357" s="1504"/>
      <c r="K357" s="100"/>
      <c r="L357" s="100"/>
      <c r="M357" s="100"/>
      <c r="N357" s="100"/>
      <c r="O357" s="1505"/>
      <c r="S357" s="97"/>
      <c r="T357" s="97"/>
      <c r="U357" s="97"/>
      <c r="V357" s="97"/>
      <c r="W357" s="97"/>
      <c r="X357" s="97"/>
    </row>
    <row r="358" spans="3:24" s="101" customFormat="1" ht="15">
      <c r="C358" s="306"/>
      <c r="D358" s="306"/>
      <c r="E358" s="306"/>
      <c r="F358" s="306"/>
      <c r="G358" s="306"/>
      <c r="H358" s="306"/>
      <c r="I358" s="1504"/>
      <c r="J358" s="1504"/>
      <c r="K358" s="100"/>
      <c r="L358" s="100"/>
      <c r="M358" s="100"/>
      <c r="N358" s="100"/>
      <c r="O358" s="1505"/>
      <c r="S358" s="97"/>
      <c r="T358" s="97"/>
      <c r="U358" s="97"/>
      <c r="V358" s="97"/>
      <c r="W358" s="97"/>
      <c r="X358" s="97"/>
    </row>
    <row r="359" spans="3:24" s="101" customFormat="1" ht="15">
      <c r="C359" s="306"/>
      <c r="D359" s="306"/>
      <c r="E359" s="306"/>
      <c r="F359" s="306"/>
      <c r="G359" s="306"/>
      <c r="H359" s="306"/>
      <c r="I359" s="1504"/>
      <c r="J359" s="1504"/>
      <c r="K359" s="100"/>
      <c r="L359" s="100"/>
      <c r="M359" s="100"/>
      <c r="N359" s="100"/>
      <c r="O359" s="1505"/>
      <c r="S359" s="97"/>
      <c r="T359" s="97"/>
      <c r="U359" s="97"/>
      <c r="V359" s="97"/>
      <c r="W359" s="97"/>
      <c r="X359" s="97"/>
    </row>
    <row r="360" spans="3:24" s="101" customFormat="1" ht="15">
      <c r="C360" s="306"/>
      <c r="D360" s="306"/>
      <c r="E360" s="306"/>
      <c r="F360" s="306"/>
      <c r="G360" s="306"/>
      <c r="H360" s="306"/>
      <c r="I360" s="1504"/>
      <c r="J360" s="1504"/>
      <c r="K360" s="100"/>
      <c r="L360" s="100"/>
      <c r="M360" s="100"/>
      <c r="N360" s="100"/>
      <c r="O360" s="1505"/>
      <c r="S360" s="97"/>
      <c r="T360" s="97"/>
      <c r="U360" s="97"/>
      <c r="V360" s="97"/>
      <c r="W360" s="97"/>
      <c r="X360" s="97"/>
    </row>
    <row r="361" spans="3:24" s="101" customFormat="1" ht="15">
      <c r="C361" s="306"/>
      <c r="D361" s="306"/>
      <c r="E361" s="306"/>
      <c r="F361" s="306"/>
      <c r="G361" s="306"/>
      <c r="H361" s="306"/>
      <c r="I361" s="1504"/>
      <c r="J361" s="1504"/>
      <c r="K361" s="100"/>
      <c r="L361" s="100"/>
      <c r="M361" s="100"/>
      <c r="N361" s="100"/>
      <c r="O361" s="1505"/>
      <c r="S361" s="97"/>
      <c r="T361" s="97"/>
      <c r="U361" s="97"/>
      <c r="V361" s="97"/>
      <c r="W361" s="97"/>
      <c r="X361" s="97"/>
    </row>
    <row r="362" spans="3:24" s="101" customFormat="1" ht="15">
      <c r="C362" s="306"/>
      <c r="D362" s="306"/>
      <c r="E362" s="306"/>
      <c r="F362" s="306"/>
      <c r="G362" s="306"/>
      <c r="H362" s="306"/>
      <c r="I362" s="1504"/>
      <c r="J362" s="1504"/>
      <c r="K362" s="100"/>
      <c r="L362" s="100"/>
      <c r="M362" s="100"/>
      <c r="N362" s="100"/>
      <c r="O362" s="1505"/>
      <c r="S362" s="97"/>
      <c r="T362" s="97"/>
      <c r="U362" s="97"/>
      <c r="V362" s="97"/>
      <c r="W362" s="97"/>
      <c r="X362" s="97"/>
    </row>
    <row r="363" spans="3:24" s="101" customFormat="1" ht="15">
      <c r="C363" s="306"/>
      <c r="D363" s="306"/>
      <c r="E363" s="306"/>
      <c r="F363" s="306"/>
      <c r="G363" s="306"/>
      <c r="H363" s="306"/>
      <c r="I363" s="1504"/>
      <c r="J363" s="1504"/>
      <c r="K363" s="100"/>
      <c r="L363" s="100"/>
      <c r="M363" s="100"/>
      <c r="N363" s="100"/>
      <c r="O363" s="1505"/>
      <c r="S363" s="97"/>
      <c r="T363" s="97"/>
      <c r="U363" s="97"/>
      <c r="V363" s="97"/>
      <c r="W363" s="97"/>
      <c r="X363" s="97"/>
    </row>
    <row r="364" spans="3:24" s="101" customFormat="1" ht="15">
      <c r="C364" s="306"/>
      <c r="D364" s="306"/>
      <c r="E364" s="306"/>
      <c r="F364" s="306"/>
      <c r="G364" s="306"/>
      <c r="H364" s="306"/>
      <c r="I364" s="1504"/>
      <c r="J364" s="1504"/>
      <c r="K364" s="100"/>
      <c r="L364" s="100"/>
      <c r="M364" s="100"/>
      <c r="N364" s="100"/>
      <c r="O364" s="1505"/>
      <c r="S364" s="97"/>
      <c r="T364" s="97"/>
      <c r="U364" s="97"/>
      <c r="V364" s="97"/>
      <c r="W364" s="97"/>
      <c r="X364" s="97"/>
    </row>
    <row r="365" spans="3:24" s="101" customFormat="1" ht="15">
      <c r="C365" s="306"/>
      <c r="D365" s="306"/>
      <c r="E365" s="306"/>
      <c r="F365" s="306"/>
      <c r="G365" s="306"/>
      <c r="H365" s="306"/>
      <c r="I365" s="1504"/>
      <c r="J365" s="1504"/>
      <c r="K365" s="100"/>
      <c r="L365" s="100"/>
      <c r="M365" s="100"/>
      <c r="N365" s="100"/>
      <c r="O365" s="1505"/>
      <c r="S365" s="97"/>
      <c r="T365" s="97"/>
      <c r="U365" s="97"/>
      <c r="V365" s="97"/>
      <c r="W365" s="97"/>
      <c r="X365" s="97"/>
    </row>
    <row r="366" spans="3:24" s="101" customFormat="1" ht="15">
      <c r="C366" s="306"/>
      <c r="D366" s="306"/>
      <c r="E366" s="306"/>
      <c r="F366" s="306"/>
      <c r="G366" s="306"/>
      <c r="H366" s="306"/>
      <c r="I366" s="1504"/>
      <c r="J366" s="1504"/>
      <c r="K366" s="100"/>
      <c r="L366" s="100"/>
      <c r="M366" s="100"/>
      <c r="N366" s="100"/>
      <c r="O366" s="1505"/>
      <c r="S366" s="97"/>
      <c r="T366" s="97"/>
      <c r="U366" s="97"/>
      <c r="V366" s="97"/>
      <c r="W366" s="97"/>
      <c r="X366" s="97"/>
    </row>
    <row r="367" spans="3:24" s="101" customFormat="1" ht="15">
      <c r="C367" s="306"/>
      <c r="D367" s="306"/>
      <c r="E367" s="306"/>
      <c r="F367" s="306"/>
      <c r="G367" s="306"/>
      <c r="H367" s="306"/>
      <c r="I367" s="1504"/>
      <c r="J367" s="1504"/>
      <c r="K367" s="100"/>
      <c r="L367" s="100"/>
      <c r="M367" s="100"/>
      <c r="N367" s="100"/>
      <c r="O367" s="1505"/>
      <c r="S367" s="97"/>
      <c r="T367" s="97"/>
      <c r="U367" s="97"/>
      <c r="V367" s="97"/>
      <c r="W367" s="97"/>
      <c r="X367" s="97"/>
    </row>
    <row r="368" spans="3:24" s="101" customFormat="1" ht="15">
      <c r="C368" s="306"/>
      <c r="D368" s="306"/>
      <c r="E368" s="306"/>
      <c r="F368" s="306"/>
      <c r="G368" s="306"/>
      <c r="H368" s="306"/>
      <c r="I368" s="1504"/>
      <c r="J368" s="1504"/>
      <c r="K368" s="100"/>
      <c r="L368" s="100"/>
      <c r="M368" s="100"/>
      <c r="N368" s="100"/>
      <c r="O368" s="1505"/>
      <c r="S368" s="97"/>
      <c r="T368" s="97"/>
      <c r="U368" s="97"/>
      <c r="V368" s="97"/>
      <c r="W368" s="97"/>
      <c r="X368" s="97"/>
    </row>
    <row r="369" spans="3:24" s="101" customFormat="1" ht="15">
      <c r="C369" s="306"/>
      <c r="D369" s="306"/>
      <c r="E369" s="306"/>
      <c r="F369" s="306"/>
      <c r="G369" s="306"/>
      <c r="H369" s="306"/>
      <c r="I369" s="1504"/>
      <c r="J369" s="1504"/>
      <c r="K369" s="100"/>
      <c r="L369" s="100"/>
      <c r="M369" s="100"/>
      <c r="N369" s="100"/>
      <c r="O369" s="1505"/>
      <c r="S369" s="97"/>
      <c r="T369" s="97"/>
      <c r="U369" s="97"/>
      <c r="V369" s="97"/>
      <c r="W369" s="97"/>
      <c r="X369" s="97"/>
    </row>
    <row r="370" spans="3:24" s="101" customFormat="1" ht="15">
      <c r="C370" s="306"/>
      <c r="D370" s="306"/>
      <c r="E370" s="306"/>
      <c r="F370" s="306"/>
      <c r="G370" s="306"/>
      <c r="H370" s="306"/>
      <c r="I370" s="1504"/>
      <c r="J370" s="1504"/>
      <c r="K370" s="100"/>
      <c r="L370" s="100"/>
      <c r="M370" s="100"/>
      <c r="N370" s="100"/>
      <c r="O370" s="1505"/>
      <c r="S370" s="97"/>
      <c r="T370" s="97"/>
      <c r="U370" s="97"/>
      <c r="V370" s="97"/>
      <c r="W370" s="97"/>
      <c r="X370" s="97"/>
    </row>
    <row r="371" spans="3:24" s="101" customFormat="1" ht="15">
      <c r="C371" s="306"/>
      <c r="D371" s="306"/>
      <c r="E371" s="306"/>
      <c r="F371" s="306"/>
      <c r="G371" s="306"/>
      <c r="H371" s="306"/>
      <c r="I371" s="1504"/>
      <c r="J371" s="1504"/>
      <c r="K371" s="100"/>
      <c r="L371" s="100"/>
      <c r="M371" s="100"/>
      <c r="N371" s="100"/>
      <c r="O371" s="1505"/>
      <c r="S371" s="97"/>
      <c r="T371" s="97"/>
      <c r="U371" s="97"/>
      <c r="V371" s="97"/>
      <c r="W371" s="97"/>
      <c r="X371" s="97"/>
    </row>
    <row r="372" spans="3:24" s="101" customFormat="1" ht="15">
      <c r="C372" s="306"/>
      <c r="D372" s="306"/>
      <c r="E372" s="306"/>
      <c r="F372" s="306"/>
      <c r="G372" s="306"/>
      <c r="H372" s="306"/>
      <c r="I372" s="1504"/>
      <c r="J372" s="1504"/>
      <c r="K372" s="100"/>
      <c r="L372" s="100"/>
      <c r="M372" s="100"/>
      <c r="N372" s="100"/>
      <c r="O372" s="1505"/>
      <c r="S372" s="97"/>
      <c r="T372" s="97"/>
      <c r="U372" s="97"/>
      <c r="V372" s="97"/>
      <c r="W372" s="97"/>
      <c r="X372" s="97"/>
    </row>
    <row r="373" spans="3:24" s="101" customFormat="1" ht="15">
      <c r="C373" s="306"/>
      <c r="D373" s="306"/>
      <c r="E373" s="306"/>
      <c r="F373" s="306"/>
      <c r="G373" s="306"/>
      <c r="H373" s="306"/>
      <c r="I373" s="1504"/>
      <c r="J373" s="1504"/>
      <c r="K373" s="100"/>
      <c r="L373" s="100"/>
      <c r="M373" s="100"/>
      <c r="N373" s="100"/>
      <c r="O373" s="1505"/>
      <c r="S373" s="97"/>
      <c r="T373" s="97"/>
      <c r="U373" s="97"/>
      <c r="V373" s="97"/>
      <c r="W373" s="97"/>
      <c r="X373" s="97"/>
    </row>
    <row r="374" spans="3:24" s="101" customFormat="1" ht="15">
      <c r="C374" s="306"/>
      <c r="D374" s="306"/>
      <c r="E374" s="306"/>
      <c r="F374" s="306"/>
      <c r="G374" s="306"/>
      <c r="H374" s="306"/>
      <c r="I374" s="1504"/>
      <c r="J374" s="1504"/>
      <c r="K374" s="100"/>
      <c r="L374" s="100"/>
      <c r="M374" s="100"/>
      <c r="N374" s="100"/>
      <c r="O374" s="1505"/>
      <c r="S374" s="97"/>
      <c r="T374" s="97"/>
      <c r="U374" s="97"/>
      <c r="V374" s="97"/>
      <c r="W374" s="97"/>
      <c r="X374" s="97"/>
    </row>
    <row r="375" spans="3:24" s="101" customFormat="1" ht="15">
      <c r="C375" s="306"/>
      <c r="D375" s="306"/>
      <c r="E375" s="306"/>
      <c r="F375" s="306"/>
      <c r="G375" s="306"/>
      <c r="H375" s="306"/>
      <c r="I375" s="1504"/>
      <c r="J375" s="1504"/>
      <c r="K375" s="100"/>
      <c r="L375" s="100"/>
      <c r="M375" s="100"/>
      <c r="N375" s="100"/>
      <c r="O375" s="1505"/>
      <c r="S375" s="97"/>
      <c r="T375" s="97"/>
      <c r="U375" s="97"/>
      <c r="V375" s="97"/>
      <c r="W375" s="97"/>
      <c r="X375" s="97"/>
    </row>
    <row r="376" spans="3:24" s="101" customFormat="1">
      <c r="C376" s="100"/>
      <c r="D376" s="100"/>
      <c r="E376" s="100"/>
      <c r="F376" s="100"/>
      <c r="G376" s="100"/>
      <c r="H376" s="100"/>
      <c r="I376" s="1504"/>
      <c r="J376" s="1504"/>
      <c r="K376" s="100"/>
      <c r="L376" s="100"/>
      <c r="M376" s="100"/>
      <c r="N376" s="100"/>
      <c r="O376" s="1505"/>
      <c r="S376" s="97"/>
      <c r="T376" s="97"/>
      <c r="U376" s="97"/>
      <c r="V376" s="97"/>
      <c r="W376" s="97"/>
      <c r="X376" s="97"/>
    </row>
    <row r="377" spans="3:24" s="101" customFormat="1">
      <c r="C377" s="100"/>
      <c r="D377" s="100"/>
      <c r="E377" s="100"/>
      <c r="F377" s="100"/>
      <c r="G377" s="100"/>
      <c r="H377" s="100"/>
      <c r="I377" s="1504"/>
      <c r="J377" s="1504"/>
      <c r="K377" s="100"/>
      <c r="L377" s="100"/>
      <c r="M377" s="100"/>
      <c r="N377" s="100"/>
      <c r="O377" s="1505"/>
      <c r="S377" s="97"/>
      <c r="T377" s="97"/>
      <c r="U377" s="97"/>
      <c r="V377" s="97"/>
      <c r="W377" s="97"/>
      <c r="X377" s="97"/>
    </row>
    <row r="378" spans="3:24" s="101" customFormat="1">
      <c r="C378" s="100"/>
      <c r="D378" s="100"/>
      <c r="E378" s="100"/>
      <c r="F378" s="100"/>
      <c r="G378" s="100"/>
      <c r="H378" s="100"/>
      <c r="I378" s="1504"/>
      <c r="J378" s="1504"/>
      <c r="K378" s="100"/>
      <c r="L378" s="100"/>
      <c r="M378" s="100"/>
      <c r="N378" s="100"/>
      <c r="O378" s="1505"/>
      <c r="S378" s="97"/>
      <c r="T378" s="97"/>
      <c r="U378" s="97"/>
      <c r="V378" s="97"/>
      <c r="W378" s="97"/>
      <c r="X378" s="97"/>
    </row>
    <row r="379" spans="3:24" s="101" customFormat="1">
      <c r="C379" s="100"/>
      <c r="D379" s="100"/>
      <c r="E379" s="100"/>
      <c r="F379" s="100"/>
      <c r="G379" s="100"/>
      <c r="H379" s="100"/>
      <c r="I379" s="1504"/>
      <c r="J379" s="1504"/>
      <c r="K379" s="100"/>
      <c r="L379" s="100"/>
      <c r="M379" s="100"/>
      <c r="N379" s="100"/>
      <c r="O379" s="1505"/>
      <c r="S379" s="97"/>
      <c r="T379" s="97"/>
      <c r="U379" s="97"/>
      <c r="V379" s="97"/>
      <c r="W379" s="97"/>
      <c r="X379" s="97"/>
    </row>
    <row r="380" spans="3:24" s="101" customFormat="1">
      <c r="C380" s="100"/>
      <c r="D380" s="100"/>
      <c r="E380" s="100"/>
      <c r="F380" s="100"/>
      <c r="G380" s="100"/>
      <c r="H380" s="100"/>
      <c r="I380" s="1504"/>
      <c r="J380" s="1504"/>
      <c r="K380" s="100"/>
      <c r="L380" s="100"/>
      <c r="M380" s="100"/>
      <c r="N380" s="100"/>
      <c r="O380" s="1505"/>
      <c r="S380" s="97"/>
      <c r="T380" s="97"/>
      <c r="U380" s="97"/>
      <c r="V380" s="97"/>
      <c r="W380" s="97"/>
      <c r="X380" s="97"/>
    </row>
    <row r="381" spans="3:24" s="101" customFormat="1">
      <c r="C381" s="100"/>
      <c r="D381" s="100"/>
      <c r="E381" s="100"/>
      <c r="F381" s="100"/>
      <c r="G381" s="100"/>
      <c r="H381" s="100"/>
      <c r="I381" s="1504"/>
      <c r="J381" s="1504"/>
      <c r="K381" s="100"/>
      <c r="L381" s="100"/>
      <c r="M381" s="100"/>
      <c r="N381" s="100"/>
      <c r="O381" s="1505"/>
      <c r="S381" s="97"/>
      <c r="T381" s="97"/>
      <c r="U381" s="97"/>
      <c r="V381" s="97"/>
      <c r="W381" s="97"/>
      <c r="X381" s="97"/>
    </row>
    <row r="382" spans="3:24" s="101" customFormat="1">
      <c r="C382" s="100"/>
      <c r="D382" s="100"/>
      <c r="E382" s="100"/>
      <c r="F382" s="100"/>
      <c r="G382" s="100"/>
      <c r="H382" s="100"/>
      <c r="I382" s="1504"/>
      <c r="J382" s="1504"/>
      <c r="K382" s="100"/>
      <c r="L382" s="100"/>
      <c r="M382" s="100"/>
      <c r="N382" s="100"/>
      <c r="O382" s="1505"/>
      <c r="S382" s="97"/>
      <c r="T382" s="97"/>
      <c r="U382" s="97"/>
      <c r="V382" s="97"/>
      <c r="W382" s="97"/>
      <c r="X382" s="97"/>
    </row>
    <row r="383" spans="3:24" s="101" customFormat="1">
      <c r="C383" s="100"/>
      <c r="D383" s="100"/>
      <c r="E383" s="100"/>
      <c r="F383" s="100"/>
      <c r="G383" s="100"/>
      <c r="H383" s="100"/>
      <c r="I383" s="1504"/>
      <c r="J383" s="1504"/>
      <c r="K383" s="100"/>
      <c r="L383" s="100"/>
      <c r="M383" s="100"/>
      <c r="N383" s="100"/>
      <c r="O383" s="1505"/>
      <c r="S383" s="97"/>
      <c r="T383" s="97"/>
      <c r="U383" s="97"/>
      <c r="V383" s="97"/>
      <c r="W383" s="97"/>
      <c r="X383" s="97"/>
    </row>
    <row r="384" spans="3:24" s="101" customFormat="1">
      <c r="C384" s="100"/>
      <c r="D384" s="100"/>
      <c r="E384" s="100"/>
      <c r="F384" s="100"/>
      <c r="G384" s="100"/>
      <c r="H384" s="100"/>
      <c r="I384" s="1504"/>
      <c r="J384" s="1504"/>
      <c r="K384" s="100"/>
      <c r="L384" s="100"/>
      <c r="M384" s="100"/>
      <c r="N384" s="100"/>
      <c r="O384" s="1505"/>
      <c r="S384" s="97"/>
      <c r="T384" s="97"/>
      <c r="U384" s="97"/>
      <c r="V384" s="97"/>
      <c r="W384" s="97"/>
      <c r="X384" s="97"/>
    </row>
    <row r="385" spans="3:24" s="101" customFormat="1">
      <c r="C385" s="100"/>
      <c r="D385" s="100"/>
      <c r="E385" s="100"/>
      <c r="F385" s="100"/>
      <c r="G385" s="100"/>
      <c r="H385" s="100"/>
      <c r="I385" s="1504"/>
      <c r="J385" s="1504"/>
      <c r="K385" s="100"/>
      <c r="L385" s="100"/>
      <c r="M385" s="100"/>
      <c r="N385" s="100"/>
      <c r="O385" s="1505"/>
      <c r="S385" s="97"/>
      <c r="T385" s="97"/>
      <c r="U385" s="97"/>
      <c r="V385" s="97"/>
      <c r="W385" s="97"/>
      <c r="X385" s="97"/>
    </row>
    <row r="386" spans="3:24" s="101" customFormat="1">
      <c r="C386" s="100"/>
      <c r="D386" s="100"/>
      <c r="E386" s="100"/>
      <c r="F386" s="100"/>
      <c r="G386" s="100"/>
      <c r="H386" s="100"/>
      <c r="I386" s="1504"/>
      <c r="J386" s="1504"/>
      <c r="K386" s="100"/>
      <c r="L386" s="100"/>
      <c r="M386" s="100"/>
      <c r="N386" s="100"/>
      <c r="O386" s="1505"/>
      <c r="S386" s="97"/>
      <c r="T386" s="97"/>
      <c r="U386" s="97"/>
      <c r="V386" s="97"/>
      <c r="W386" s="97"/>
      <c r="X386" s="97"/>
    </row>
    <row r="387" spans="3:24" s="101" customFormat="1">
      <c r="C387" s="100"/>
      <c r="D387" s="100"/>
      <c r="E387" s="100"/>
      <c r="F387" s="100"/>
      <c r="G387" s="100"/>
      <c r="H387" s="100"/>
      <c r="I387" s="1504"/>
      <c r="J387" s="1504"/>
      <c r="K387" s="100"/>
      <c r="L387" s="100"/>
      <c r="M387" s="100"/>
      <c r="N387" s="100"/>
      <c r="O387" s="1505"/>
      <c r="S387" s="97"/>
      <c r="T387" s="97"/>
      <c r="U387" s="97"/>
      <c r="V387" s="97"/>
      <c r="W387" s="97"/>
      <c r="X387" s="97"/>
    </row>
    <row r="388" spans="3:24" s="101" customFormat="1">
      <c r="I388" s="1504"/>
      <c r="J388" s="1504"/>
      <c r="K388" s="100"/>
      <c r="L388" s="100"/>
      <c r="M388" s="100"/>
      <c r="N388" s="100"/>
      <c r="O388" s="1505"/>
      <c r="S388" s="97"/>
      <c r="T388" s="97"/>
      <c r="U388" s="97"/>
      <c r="V388" s="97"/>
      <c r="W388" s="97"/>
      <c r="X388" s="97"/>
    </row>
    <row r="389" spans="3:24" s="101" customFormat="1">
      <c r="I389" s="1504"/>
      <c r="J389" s="1504"/>
      <c r="K389" s="100"/>
      <c r="L389" s="100"/>
      <c r="M389" s="100"/>
      <c r="N389" s="100"/>
      <c r="O389" s="1505"/>
      <c r="S389" s="97"/>
      <c r="T389" s="97"/>
      <c r="U389" s="97"/>
      <c r="V389" s="97"/>
      <c r="W389" s="97"/>
      <c r="X389" s="97"/>
    </row>
    <row r="390" spans="3:24" s="101" customFormat="1">
      <c r="I390" s="1504"/>
      <c r="J390" s="1504"/>
      <c r="K390" s="100"/>
      <c r="L390" s="100"/>
      <c r="M390" s="100"/>
      <c r="N390" s="100"/>
      <c r="O390" s="1505"/>
      <c r="S390" s="97"/>
      <c r="T390" s="97"/>
      <c r="U390" s="97"/>
      <c r="V390" s="97"/>
      <c r="W390" s="97"/>
      <c r="X390" s="97"/>
    </row>
    <row r="391" spans="3:24" s="101" customFormat="1">
      <c r="I391" s="1504"/>
      <c r="J391" s="1504"/>
      <c r="K391" s="100"/>
      <c r="L391" s="100"/>
      <c r="M391" s="100"/>
      <c r="N391" s="100"/>
      <c r="O391" s="1505"/>
      <c r="S391" s="97"/>
      <c r="T391" s="97"/>
      <c r="U391" s="97"/>
      <c r="V391" s="97"/>
      <c r="W391" s="97"/>
      <c r="X391" s="97"/>
    </row>
    <row r="392" spans="3:24" s="101" customFormat="1">
      <c r="I392" s="1504"/>
      <c r="J392" s="1504"/>
      <c r="K392" s="100"/>
      <c r="L392" s="100"/>
      <c r="M392" s="100"/>
      <c r="N392" s="100"/>
      <c r="O392" s="1505"/>
      <c r="S392" s="97"/>
      <c r="T392" s="97"/>
      <c r="U392" s="97"/>
      <c r="V392" s="97"/>
      <c r="W392" s="97"/>
      <c r="X392" s="97"/>
    </row>
    <row r="393" spans="3:24" s="101" customFormat="1">
      <c r="I393" s="1504"/>
      <c r="J393" s="1504"/>
      <c r="K393" s="100"/>
      <c r="L393" s="100"/>
      <c r="M393" s="100"/>
      <c r="N393" s="100"/>
      <c r="O393" s="1505"/>
      <c r="S393" s="97"/>
      <c r="T393" s="97"/>
      <c r="U393" s="97"/>
      <c r="V393" s="97"/>
      <c r="W393" s="97"/>
      <c r="X393" s="97"/>
    </row>
    <row r="394" spans="3:24" s="101" customFormat="1">
      <c r="I394" s="1504"/>
      <c r="J394" s="1504"/>
      <c r="K394" s="100"/>
      <c r="L394" s="100"/>
      <c r="M394" s="100"/>
      <c r="N394" s="100"/>
      <c r="O394" s="1505"/>
      <c r="S394" s="97"/>
      <c r="T394" s="97"/>
      <c r="U394" s="97"/>
      <c r="V394" s="97"/>
      <c r="W394" s="97"/>
      <c r="X394" s="97"/>
    </row>
    <row r="395" spans="3:24" s="101" customFormat="1">
      <c r="I395" s="1504"/>
      <c r="J395" s="1504"/>
      <c r="K395" s="100"/>
      <c r="L395" s="100"/>
      <c r="M395" s="100"/>
      <c r="N395" s="100"/>
      <c r="O395" s="1505"/>
      <c r="S395" s="97"/>
      <c r="T395" s="97"/>
      <c r="U395" s="97"/>
      <c r="V395" s="97"/>
      <c r="W395" s="97"/>
      <c r="X395" s="97"/>
    </row>
    <row r="396" spans="3:24" s="101" customFormat="1">
      <c r="I396" s="1504"/>
      <c r="J396" s="1504"/>
      <c r="K396" s="100"/>
      <c r="L396" s="100"/>
      <c r="M396" s="100"/>
      <c r="N396" s="100"/>
      <c r="O396" s="1505"/>
      <c r="S396" s="97"/>
      <c r="T396" s="97"/>
      <c r="U396" s="97"/>
      <c r="V396" s="97"/>
      <c r="W396" s="97"/>
      <c r="X396" s="97"/>
    </row>
    <row r="397" spans="3:24" s="101" customFormat="1">
      <c r="I397" s="1504"/>
      <c r="J397" s="1504"/>
      <c r="K397" s="100"/>
      <c r="L397" s="100"/>
      <c r="M397" s="100"/>
      <c r="N397" s="100"/>
      <c r="O397" s="1505"/>
      <c r="S397" s="97"/>
      <c r="T397" s="97"/>
      <c r="U397" s="97"/>
      <c r="V397" s="97"/>
      <c r="W397" s="97"/>
      <c r="X397" s="97"/>
    </row>
    <row r="398" spans="3:24" s="101" customFormat="1">
      <c r="I398" s="1504"/>
      <c r="J398" s="1504"/>
      <c r="K398" s="100"/>
      <c r="L398" s="100"/>
      <c r="M398" s="100"/>
      <c r="N398" s="100"/>
      <c r="O398" s="1505"/>
      <c r="S398" s="97"/>
      <c r="T398" s="97"/>
      <c r="U398" s="97"/>
      <c r="V398" s="97"/>
      <c r="W398" s="97"/>
      <c r="X398" s="97"/>
    </row>
    <row r="399" spans="3:24" s="101" customFormat="1">
      <c r="I399" s="1504"/>
      <c r="J399" s="1504"/>
      <c r="K399" s="100"/>
      <c r="L399" s="100"/>
      <c r="M399" s="100"/>
      <c r="N399" s="100"/>
      <c r="O399" s="1505"/>
      <c r="S399" s="97"/>
      <c r="T399" s="97"/>
      <c r="U399" s="97"/>
      <c r="V399" s="97"/>
      <c r="W399" s="97"/>
      <c r="X399" s="97"/>
    </row>
    <row r="400" spans="3:24" s="101" customFormat="1">
      <c r="I400" s="1504"/>
      <c r="J400" s="1504"/>
      <c r="K400" s="100"/>
      <c r="L400" s="100"/>
      <c r="M400" s="100"/>
      <c r="N400" s="100"/>
      <c r="O400" s="1505"/>
      <c r="S400" s="97"/>
      <c r="T400" s="97"/>
      <c r="U400" s="97"/>
      <c r="V400" s="97"/>
      <c r="W400" s="97"/>
      <c r="X400" s="97"/>
    </row>
    <row r="401" spans="9:24" s="101" customFormat="1">
      <c r="I401" s="1504"/>
      <c r="J401" s="1504"/>
      <c r="K401" s="100"/>
      <c r="L401" s="100"/>
      <c r="M401" s="100"/>
      <c r="N401" s="100"/>
      <c r="O401" s="1505"/>
      <c r="S401" s="97"/>
      <c r="T401" s="97"/>
      <c r="U401" s="97"/>
      <c r="V401" s="97"/>
      <c r="W401" s="97"/>
      <c r="X401" s="97"/>
    </row>
    <row r="402" spans="9:24" s="101" customFormat="1">
      <c r="I402" s="1504"/>
      <c r="J402" s="1504"/>
      <c r="K402" s="100"/>
      <c r="L402" s="100"/>
      <c r="M402" s="100"/>
      <c r="N402" s="100"/>
      <c r="O402" s="1505"/>
      <c r="S402" s="97"/>
      <c r="T402" s="97"/>
      <c r="U402" s="97"/>
      <c r="V402" s="97"/>
      <c r="W402" s="97"/>
      <c r="X402" s="97"/>
    </row>
    <row r="403" spans="9:24" s="101" customFormat="1">
      <c r="I403" s="1504"/>
      <c r="J403" s="1504"/>
      <c r="K403" s="100"/>
      <c r="L403" s="100"/>
      <c r="M403" s="100"/>
      <c r="N403" s="100"/>
      <c r="O403" s="1505"/>
      <c r="S403" s="97"/>
      <c r="T403" s="97"/>
      <c r="U403" s="97"/>
      <c r="V403" s="97"/>
      <c r="W403" s="97"/>
      <c r="X403" s="97"/>
    </row>
    <row r="404" spans="9:24" s="101" customFormat="1">
      <c r="I404" s="1504"/>
      <c r="J404" s="1504"/>
      <c r="K404" s="100"/>
      <c r="L404" s="100"/>
      <c r="M404" s="100"/>
      <c r="N404" s="100"/>
      <c r="O404" s="1505"/>
      <c r="S404" s="97"/>
      <c r="T404" s="97"/>
      <c r="U404" s="97"/>
      <c r="V404" s="97"/>
      <c r="W404" s="97"/>
      <c r="X404" s="97"/>
    </row>
    <row r="405" spans="9:24" s="101" customFormat="1">
      <c r="I405" s="1504"/>
      <c r="J405" s="1504"/>
      <c r="K405" s="100"/>
      <c r="L405" s="100"/>
      <c r="M405" s="100"/>
      <c r="N405" s="100"/>
      <c r="O405" s="1505"/>
      <c r="S405" s="97"/>
      <c r="T405" s="97"/>
      <c r="U405" s="97"/>
      <c r="V405" s="97"/>
      <c r="W405" s="97"/>
      <c r="X405" s="97"/>
    </row>
    <row r="406" spans="9:24" s="101" customFormat="1">
      <c r="I406" s="1504"/>
      <c r="J406" s="1504"/>
      <c r="K406" s="100"/>
      <c r="L406" s="100"/>
      <c r="M406" s="100"/>
      <c r="N406" s="100"/>
      <c r="O406" s="1505"/>
      <c r="S406" s="97"/>
      <c r="T406" s="97"/>
      <c r="U406" s="97"/>
      <c r="V406" s="97"/>
      <c r="W406" s="97"/>
      <c r="X406" s="97"/>
    </row>
    <row r="407" spans="9:24" s="101" customFormat="1">
      <c r="I407" s="1504"/>
      <c r="J407" s="1504"/>
      <c r="K407" s="100"/>
      <c r="L407" s="100"/>
      <c r="M407" s="100"/>
      <c r="N407" s="100"/>
      <c r="O407" s="1505"/>
      <c r="S407" s="97"/>
      <c r="T407" s="97"/>
      <c r="U407" s="97"/>
      <c r="V407" s="97"/>
      <c r="W407" s="97"/>
      <c r="X407" s="97"/>
    </row>
    <row r="408" spans="9:24" s="101" customFormat="1">
      <c r="I408" s="1504"/>
      <c r="J408" s="1504"/>
      <c r="K408" s="100"/>
      <c r="L408" s="100"/>
      <c r="M408" s="100"/>
      <c r="N408" s="100"/>
      <c r="O408" s="1505"/>
      <c r="S408" s="97"/>
      <c r="T408" s="97"/>
      <c r="U408" s="97"/>
      <c r="V408" s="97"/>
      <c r="W408" s="97"/>
      <c r="X408" s="97"/>
    </row>
    <row r="409" spans="9:24" s="101" customFormat="1">
      <c r="I409" s="1504"/>
      <c r="J409" s="1504"/>
      <c r="K409" s="100"/>
      <c r="L409" s="100"/>
      <c r="M409" s="100"/>
      <c r="N409" s="100"/>
      <c r="O409" s="1505"/>
      <c r="S409" s="97"/>
      <c r="T409" s="97"/>
      <c r="U409" s="97"/>
      <c r="V409" s="97"/>
      <c r="W409" s="97"/>
      <c r="X409" s="97"/>
    </row>
    <row r="410" spans="9:24" s="101" customFormat="1">
      <c r="I410" s="1504"/>
      <c r="J410" s="1504"/>
      <c r="K410" s="100"/>
      <c r="L410" s="100"/>
      <c r="M410" s="100"/>
      <c r="N410" s="100"/>
      <c r="O410" s="1505"/>
      <c r="S410" s="97"/>
      <c r="T410" s="97"/>
      <c r="U410" s="97"/>
      <c r="V410" s="97"/>
      <c r="W410" s="97"/>
      <c r="X410" s="97"/>
    </row>
    <row r="411" spans="9:24" s="101" customFormat="1">
      <c r="I411" s="1504"/>
      <c r="J411" s="1504"/>
      <c r="K411" s="100"/>
      <c r="L411" s="100"/>
      <c r="M411" s="100"/>
      <c r="N411" s="100"/>
      <c r="O411" s="1505"/>
      <c r="S411" s="97"/>
      <c r="T411" s="97"/>
      <c r="U411" s="97"/>
      <c r="V411" s="97"/>
      <c r="W411" s="97"/>
      <c r="X411" s="97"/>
    </row>
    <row r="412" spans="9:24" s="101" customFormat="1">
      <c r="I412" s="1504"/>
      <c r="J412" s="1504"/>
      <c r="K412" s="100"/>
      <c r="L412" s="100"/>
      <c r="M412" s="100"/>
      <c r="N412" s="100"/>
      <c r="O412" s="1505"/>
      <c r="S412" s="97"/>
      <c r="T412" s="97"/>
      <c r="U412" s="97"/>
      <c r="V412" s="97"/>
      <c r="W412" s="97"/>
      <c r="X412" s="97"/>
    </row>
    <row r="413" spans="9:24" s="101" customFormat="1">
      <c r="I413" s="1504"/>
      <c r="J413" s="1504"/>
      <c r="K413" s="100"/>
      <c r="L413" s="100"/>
      <c r="M413" s="100"/>
      <c r="N413" s="100"/>
      <c r="O413" s="1505"/>
      <c r="S413" s="97"/>
      <c r="T413" s="97"/>
      <c r="U413" s="97"/>
      <c r="V413" s="97"/>
      <c r="W413" s="97"/>
      <c r="X413" s="97"/>
    </row>
    <row r="414" spans="9:24" s="101" customFormat="1">
      <c r="I414" s="1504"/>
      <c r="J414" s="1504"/>
      <c r="K414" s="100"/>
      <c r="L414" s="100"/>
      <c r="M414" s="100"/>
      <c r="N414" s="100"/>
      <c r="O414" s="1505"/>
      <c r="S414" s="97"/>
      <c r="T414" s="97"/>
      <c r="U414" s="97"/>
      <c r="V414" s="97"/>
      <c r="W414" s="97"/>
      <c r="X414" s="97"/>
    </row>
    <row r="415" spans="9:24" s="101" customFormat="1">
      <c r="I415" s="1504"/>
      <c r="J415" s="1504"/>
      <c r="K415" s="100"/>
      <c r="L415" s="100"/>
      <c r="M415" s="100"/>
      <c r="N415" s="100"/>
      <c r="O415" s="1505"/>
      <c r="S415" s="97"/>
      <c r="T415" s="97"/>
      <c r="U415" s="97"/>
      <c r="V415" s="97"/>
      <c r="W415" s="97"/>
      <c r="X415" s="97"/>
    </row>
    <row r="416" spans="9:24" s="101" customFormat="1">
      <c r="I416" s="1504"/>
      <c r="J416" s="1504"/>
      <c r="K416" s="100"/>
      <c r="L416" s="100"/>
      <c r="M416" s="100"/>
      <c r="N416" s="100"/>
      <c r="O416" s="1505"/>
      <c r="S416" s="97"/>
      <c r="T416" s="97"/>
      <c r="U416" s="97"/>
      <c r="V416" s="97"/>
      <c r="W416" s="97"/>
      <c r="X416" s="97"/>
    </row>
    <row r="417" spans="9:24" s="101" customFormat="1">
      <c r="I417" s="1504"/>
      <c r="J417" s="1504"/>
      <c r="K417" s="100"/>
      <c r="L417" s="100"/>
      <c r="M417" s="100"/>
      <c r="N417" s="100"/>
      <c r="O417" s="1505"/>
      <c r="S417" s="97"/>
      <c r="T417" s="97"/>
      <c r="U417" s="97"/>
      <c r="V417" s="97"/>
      <c r="W417" s="97"/>
      <c r="X417" s="97"/>
    </row>
    <row r="418" spans="9:24" s="101" customFormat="1">
      <c r="I418" s="1504"/>
      <c r="J418" s="1504"/>
      <c r="K418" s="100"/>
      <c r="L418" s="100"/>
      <c r="M418" s="100"/>
      <c r="N418" s="100"/>
      <c r="O418" s="1505"/>
      <c r="S418" s="97"/>
      <c r="T418" s="97"/>
      <c r="U418" s="97"/>
      <c r="V418" s="97"/>
      <c r="W418" s="97"/>
      <c r="X418" s="97"/>
    </row>
    <row r="419" spans="9:24" s="101" customFormat="1">
      <c r="I419" s="1504"/>
      <c r="J419" s="1504"/>
      <c r="K419" s="100"/>
      <c r="L419" s="100"/>
      <c r="M419" s="100"/>
      <c r="N419" s="100"/>
      <c r="O419" s="1505"/>
      <c r="S419" s="97"/>
      <c r="T419" s="97"/>
      <c r="U419" s="97"/>
      <c r="V419" s="97"/>
      <c r="W419" s="97"/>
      <c r="X419" s="97"/>
    </row>
    <row r="420" spans="9:24" s="101" customFormat="1">
      <c r="I420" s="1504"/>
      <c r="J420" s="1504"/>
      <c r="K420" s="100"/>
      <c r="L420" s="100"/>
      <c r="M420" s="100"/>
      <c r="N420" s="100"/>
      <c r="O420" s="1505"/>
      <c r="S420" s="97"/>
      <c r="T420" s="97"/>
      <c r="U420" s="97"/>
      <c r="V420" s="97"/>
      <c r="W420" s="97"/>
      <c r="X420" s="97"/>
    </row>
    <row r="421" spans="9:24" s="101" customFormat="1">
      <c r="I421" s="1504"/>
      <c r="J421" s="1504"/>
      <c r="K421" s="100"/>
      <c r="L421" s="100"/>
      <c r="M421" s="100"/>
      <c r="N421" s="100"/>
      <c r="O421" s="1505"/>
      <c r="S421" s="97"/>
      <c r="T421" s="97"/>
      <c r="U421" s="97"/>
      <c r="V421" s="97"/>
      <c r="W421" s="97"/>
      <c r="X421" s="97"/>
    </row>
  </sheetData>
  <sheetProtection selectLockedCells="1" selectUnlockedCells="1"/>
  <mergeCells count="21">
    <mergeCell ref="P101:R101"/>
    <mergeCell ref="P108:R108"/>
    <mergeCell ref="P119:R119"/>
    <mergeCell ref="P128:R128"/>
    <mergeCell ref="A280:B280"/>
    <mergeCell ref="A1:AD1"/>
    <mergeCell ref="AB4:AD4"/>
    <mergeCell ref="A3:B5"/>
    <mergeCell ref="C3:H3"/>
    <mergeCell ref="I3:N3"/>
    <mergeCell ref="O3:R3"/>
    <mergeCell ref="Y3:AD3"/>
    <mergeCell ref="C4:E4"/>
    <mergeCell ref="F4:H4"/>
    <mergeCell ref="I4:K4"/>
    <mergeCell ref="L4:N4"/>
    <mergeCell ref="S3:X3"/>
    <mergeCell ref="O4:R4"/>
    <mergeCell ref="S4:U4"/>
    <mergeCell ref="V4:X4"/>
    <mergeCell ref="Y4:AA4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42" firstPageNumber="0" orientation="landscape" horizontalDpi="300" verticalDpi="300" r:id="rId1"/>
  <headerFooter alignWithMargins="0">
    <oddHeader>&amp;R&amp;"Times New Roman,Normál"&amp;8 &amp;10 6. m. a 2016. évi költségvetésről szóló 5/2016. (II.29.) önkormányzati rendelet végrehajtásáról szóló 11/2017. (V.3.) önkormányzati rendelethez</oddHeader>
    <oddFooter>&amp;C&amp;P</oddFooter>
  </headerFooter>
  <rowBreaks count="2" manualBreakCount="2">
    <brk id="107" max="29" man="1"/>
    <brk id="18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19"/>
  </sheetPr>
  <dimension ref="A1:AX541"/>
  <sheetViews>
    <sheetView view="pageBreakPreview" zoomScaleSheetLayoutView="100" workbookViewId="0">
      <pane xSplit="2" ySplit="5" topLeftCell="C335" activePane="bottomRight" state="frozen"/>
      <selection pane="topRight" activeCell="V1" sqref="V1"/>
      <selection pane="bottomLeft" activeCell="A369" sqref="A369"/>
      <selection pane="bottomRight" activeCell="B88" sqref="B88"/>
    </sheetView>
  </sheetViews>
  <sheetFormatPr defaultRowHeight="12.75"/>
  <cols>
    <col min="1" max="1" width="8.28515625" style="101" customWidth="1"/>
    <col min="2" max="2" width="71.140625" style="101" customWidth="1"/>
    <col min="3" max="4" width="14.28515625" style="1506" customWidth="1"/>
    <col min="5" max="5" width="13.28515625" style="1506" customWidth="1"/>
    <col min="6" max="6" width="14.28515625" style="1506" customWidth="1"/>
    <col min="7" max="8" width="13.28515625" style="1506" customWidth="1"/>
    <col min="9" max="10" width="0" style="1254" hidden="1" customWidth="1"/>
    <col min="11" max="14" width="0" style="101" hidden="1" customWidth="1"/>
    <col min="15" max="15" width="0" style="1255" hidden="1" customWidth="1"/>
    <col min="16" max="18" width="0" style="100" hidden="1" customWidth="1"/>
    <col min="19" max="19" width="14.28515625" style="98" customWidth="1"/>
    <col min="20" max="20" width="14.5703125" style="98" customWidth="1"/>
    <col min="21" max="21" width="13" style="98" customWidth="1"/>
    <col min="22" max="22" width="15.7109375" style="98" customWidth="1"/>
    <col min="23" max="23" width="10.42578125" style="98" bestFit="1" customWidth="1"/>
    <col min="24" max="24" width="11.28515625" style="98" customWidth="1"/>
    <col min="25" max="25" width="14.28515625" style="100" customWidth="1"/>
    <col min="26" max="26" width="14.5703125" style="100" customWidth="1"/>
    <col min="27" max="27" width="13" style="100" customWidth="1"/>
    <col min="28" max="28" width="14.28515625" style="100" customWidth="1"/>
    <col min="29" max="30" width="12.42578125" style="100" customWidth="1"/>
    <col min="31" max="16384" width="9.140625" style="101"/>
  </cols>
  <sheetData>
    <row r="1" spans="1:42" s="1258" customFormat="1" ht="36.75" customHeight="1">
      <c r="A1" s="1773" t="s">
        <v>1350</v>
      </c>
      <c r="B1" s="1773"/>
      <c r="C1" s="1773"/>
      <c r="D1" s="1773"/>
      <c r="E1" s="1773"/>
      <c r="F1" s="1773"/>
      <c r="G1" s="1773"/>
      <c r="H1" s="1773"/>
      <c r="I1" s="1773"/>
      <c r="J1" s="1773"/>
      <c r="K1" s="1773"/>
      <c r="L1" s="1773"/>
      <c r="M1" s="1773"/>
      <c r="N1" s="1773"/>
      <c r="O1" s="1773"/>
      <c r="P1" s="1773"/>
      <c r="Q1" s="1773"/>
      <c r="R1" s="1773"/>
      <c r="S1" s="1773"/>
      <c r="T1" s="1773"/>
      <c r="U1" s="1773"/>
      <c r="V1" s="1773"/>
      <c r="W1" s="1773"/>
      <c r="X1" s="1773"/>
      <c r="Y1" s="1507"/>
      <c r="Z1" s="1507"/>
      <c r="AA1" s="631"/>
      <c r="AB1" s="631"/>
      <c r="AC1" s="631"/>
      <c r="AD1" s="631"/>
      <c r="AE1" s="631"/>
      <c r="AF1" s="631"/>
      <c r="AG1" s="1257"/>
      <c r="AH1" s="1257"/>
      <c r="AI1" s="1257"/>
      <c r="AJ1" s="1257"/>
      <c r="AK1" s="1257"/>
      <c r="AL1" s="1257"/>
      <c r="AM1" s="1257"/>
      <c r="AN1" s="1257"/>
      <c r="AO1" s="1257"/>
      <c r="AP1" s="1257"/>
    </row>
    <row r="2" spans="1:42" s="1258" customFormat="1" ht="13.5" customHeight="1">
      <c r="A2" s="1256"/>
      <c r="B2" s="1259"/>
      <c r="C2" s="1508"/>
      <c r="D2" s="1508"/>
      <c r="E2" s="1508"/>
      <c r="F2" s="1508"/>
      <c r="G2" s="1508"/>
      <c r="H2" s="1508"/>
      <c r="I2" s="1259"/>
      <c r="J2" s="1259"/>
      <c r="K2" s="1259"/>
      <c r="L2" s="1259"/>
      <c r="M2" s="1259"/>
      <c r="N2" s="1259"/>
      <c r="O2" s="1259"/>
      <c r="P2" s="1259"/>
      <c r="Q2" s="1259"/>
      <c r="R2" s="1259"/>
      <c r="S2" s="1509"/>
      <c r="T2" s="1509"/>
      <c r="U2" s="1509"/>
      <c r="V2" s="1509"/>
      <c r="W2" s="1509"/>
      <c r="X2" s="1263"/>
      <c r="Y2" s="1259"/>
      <c r="Z2" s="1259"/>
      <c r="AA2" s="1259"/>
      <c r="AB2" s="1259"/>
      <c r="AC2" s="1259"/>
      <c r="AD2" s="1229" t="s">
        <v>0</v>
      </c>
      <c r="AE2" s="631"/>
      <c r="AF2" s="631"/>
      <c r="AG2" s="1257"/>
      <c r="AH2" s="1257"/>
      <c r="AI2" s="1257"/>
      <c r="AJ2" s="1257"/>
      <c r="AK2" s="1257"/>
      <c r="AL2" s="1257"/>
      <c r="AM2" s="1257"/>
      <c r="AN2" s="1257"/>
      <c r="AO2" s="1257"/>
      <c r="AP2" s="1257"/>
    </row>
    <row r="3" spans="1:42" s="293" customFormat="1" ht="14.25" customHeight="1">
      <c r="A3" s="1780" t="s">
        <v>957</v>
      </c>
      <c r="B3" s="1780"/>
      <c r="C3" s="1781" t="s">
        <v>2</v>
      </c>
      <c r="D3" s="1781"/>
      <c r="E3" s="1781"/>
      <c r="F3" s="1781"/>
      <c r="G3" s="1781"/>
      <c r="H3" s="1781"/>
      <c r="I3" s="1774" t="s">
        <v>958</v>
      </c>
      <c r="J3" s="1774"/>
      <c r="K3" s="1774"/>
      <c r="L3" s="1774"/>
      <c r="M3" s="1774"/>
      <c r="N3" s="1774"/>
      <c r="O3" s="1775" t="s">
        <v>959</v>
      </c>
      <c r="P3" s="1775"/>
      <c r="Q3" s="1775"/>
      <c r="R3" s="1775"/>
      <c r="S3" s="1777" t="s">
        <v>5</v>
      </c>
      <c r="T3" s="1777"/>
      <c r="U3" s="1777"/>
      <c r="V3" s="1777"/>
      <c r="W3" s="1777"/>
      <c r="X3" s="1777"/>
      <c r="Y3" s="1774" t="s">
        <v>960</v>
      </c>
      <c r="Z3" s="1774"/>
      <c r="AA3" s="1774"/>
      <c r="AB3" s="1774"/>
      <c r="AC3" s="1774"/>
      <c r="AD3" s="1774"/>
    </row>
    <row r="4" spans="1:42" s="293" customFormat="1" ht="17.25" customHeight="1">
      <c r="A4" s="1780"/>
      <c r="B4" s="1780"/>
      <c r="C4" s="1774" t="s">
        <v>961</v>
      </c>
      <c r="D4" s="1774"/>
      <c r="E4" s="1774"/>
      <c r="F4" s="1774" t="s">
        <v>962</v>
      </c>
      <c r="G4" s="1774"/>
      <c r="H4" s="1774"/>
      <c r="I4" s="1776" t="s">
        <v>961</v>
      </c>
      <c r="J4" s="1776"/>
      <c r="K4" s="1776"/>
      <c r="L4" s="1774" t="s">
        <v>962</v>
      </c>
      <c r="M4" s="1774"/>
      <c r="N4" s="1774"/>
      <c r="O4" s="1775" t="s">
        <v>962</v>
      </c>
      <c r="P4" s="1775" t="s">
        <v>962</v>
      </c>
      <c r="Q4" s="1775"/>
      <c r="R4" s="1775"/>
      <c r="S4" s="1777" t="s">
        <v>961</v>
      </c>
      <c r="T4" s="1777"/>
      <c r="U4" s="1777"/>
      <c r="V4" s="1777" t="s">
        <v>962</v>
      </c>
      <c r="W4" s="1777"/>
      <c r="X4" s="1777"/>
      <c r="Y4" s="1774" t="s">
        <v>961</v>
      </c>
      <c r="Z4" s="1774"/>
      <c r="AA4" s="1774"/>
      <c r="AB4" s="1774" t="s">
        <v>962</v>
      </c>
      <c r="AC4" s="1774"/>
      <c r="AD4" s="1774"/>
    </row>
    <row r="5" spans="1:42" s="293" customFormat="1" ht="50.25" customHeight="1">
      <c r="A5" s="1780"/>
      <c r="B5" s="1780"/>
      <c r="C5" s="1264" t="s">
        <v>963</v>
      </c>
      <c r="D5" s="1281" t="s">
        <v>964</v>
      </c>
      <c r="E5" s="1268" t="s">
        <v>965</v>
      </c>
      <c r="F5" s="1510" t="s">
        <v>966</v>
      </c>
      <c r="G5" s="1282" t="s">
        <v>967</v>
      </c>
      <c r="H5" s="1283" t="s">
        <v>968</v>
      </c>
      <c r="I5" s="1267" t="s">
        <v>963</v>
      </c>
      <c r="J5" s="1264" t="s">
        <v>964</v>
      </c>
      <c r="K5" s="1272" t="s">
        <v>965</v>
      </c>
      <c r="L5" s="1230" t="s">
        <v>969</v>
      </c>
      <c r="M5" s="1230" t="s">
        <v>970</v>
      </c>
      <c r="N5" s="1273" t="s">
        <v>971</v>
      </c>
      <c r="O5" s="1274" t="s">
        <v>972</v>
      </c>
      <c r="P5" s="1275" t="s">
        <v>966</v>
      </c>
      <c r="Q5" s="1275" t="s">
        <v>973</v>
      </c>
      <c r="R5" s="1275" t="s">
        <v>968</v>
      </c>
      <c r="S5" s="1265" t="s">
        <v>963</v>
      </c>
      <c r="T5" s="1276" t="s">
        <v>964</v>
      </c>
      <c r="U5" s="1277" t="s">
        <v>965</v>
      </c>
      <c r="V5" s="1278" t="s">
        <v>966</v>
      </c>
      <c r="W5" s="1279" t="s">
        <v>967</v>
      </c>
      <c r="X5" s="1280" t="s">
        <v>968</v>
      </c>
      <c r="Y5" s="1264" t="s">
        <v>963</v>
      </c>
      <c r="Z5" s="1281" t="s">
        <v>964</v>
      </c>
      <c r="AA5" s="1268" t="s">
        <v>965</v>
      </c>
      <c r="AB5" s="1230" t="s">
        <v>966</v>
      </c>
      <c r="AC5" s="1282" t="s">
        <v>967</v>
      </c>
      <c r="AD5" s="1283" t="s">
        <v>968</v>
      </c>
    </row>
    <row r="6" spans="1:42" s="293" customFormat="1" ht="17.25" customHeight="1">
      <c r="A6" s="1511"/>
      <c r="B6" s="1257"/>
      <c r="C6" s="1512"/>
      <c r="D6" s="1513"/>
      <c r="E6" s="1514"/>
      <c r="F6" s="1513"/>
      <c r="G6" s="1513"/>
      <c r="H6" s="1513"/>
      <c r="I6" s="1515"/>
      <c r="J6" s="1516"/>
      <c r="K6" s="1517"/>
      <c r="L6" s="304"/>
      <c r="M6" s="294"/>
      <c r="N6" s="1356"/>
      <c r="O6" s="1518"/>
      <c r="P6" s="1519"/>
      <c r="Q6" s="1520"/>
      <c r="R6" s="1520"/>
      <c r="S6" s="1521"/>
      <c r="T6" s="1522"/>
      <c r="U6" s="1523"/>
      <c r="V6" s="1524"/>
      <c r="W6" s="1525"/>
      <c r="X6" s="1526"/>
      <c r="Y6" s="1527"/>
      <c r="Z6" s="1266"/>
      <c r="AA6" s="1517"/>
      <c r="AB6" s="1528"/>
      <c r="AC6" s="1529"/>
      <c r="AD6" s="1530"/>
    </row>
    <row r="7" spans="1:42" s="293" customFormat="1" ht="16.5" customHeight="1">
      <c r="A7" s="1511" t="s">
        <v>1088</v>
      </c>
      <c r="B7" s="1257"/>
      <c r="C7" s="1512"/>
      <c r="D7" s="1513"/>
      <c r="E7" s="1514"/>
      <c r="F7" s="1513"/>
      <c r="G7" s="1513"/>
      <c r="H7" s="1513"/>
      <c r="I7" s="1367"/>
      <c r="J7" s="1354"/>
      <c r="K7" s="1355"/>
      <c r="L7" s="304"/>
      <c r="M7" s="294"/>
      <c r="N7" s="1356"/>
      <c r="O7" s="1357"/>
      <c r="P7" s="1358"/>
      <c r="Q7" s="1359"/>
      <c r="R7" s="1359"/>
      <c r="S7" s="1360"/>
      <c r="T7" s="1531"/>
      <c r="U7" s="1362"/>
      <c r="V7" s="631"/>
      <c r="W7" s="1364"/>
      <c r="X7" s="1365"/>
      <c r="Y7" s="1366"/>
      <c r="Z7" s="315"/>
      <c r="AA7" s="1355"/>
      <c r="AB7" s="304"/>
      <c r="AC7" s="294"/>
      <c r="AD7" s="1356"/>
    </row>
    <row r="8" spans="1:42" s="293" customFormat="1" ht="16.5" hidden="1" customHeight="1">
      <c r="A8" s="1511"/>
      <c r="B8" s="1257"/>
      <c r="C8" s="1512"/>
      <c r="D8" s="1513"/>
      <c r="E8" s="1514"/>
      <c r="F8" s="1513"/>
      <c r="G8" s="1513"/>
      <c r="H8" s="1513"/>
      <c r="I8" s="1367"/>
      <c r="J8" s="1354"/>
      <c r="K8" s="1355"/>
      <c r="L8" s="304"/>
      <c r="M8" s="294"/>
      <c r="N8" s="1356"/>
      <c r="O8" s="1357"/>
      <c r="P8" s="1358"/>
      <c r="Q8" s="1359"/>
      <c r="R8" s="1359"/>
      <c r="S8" s="1360"/>
      <c r="T8" s="1531"/>
      <c r="U8" s="1362"/>
      <c r="V8" s="631"/>
      <c r="W8" s="1364"/>
      <c r="X8" s="1365"/>
      <c r="Y8" s="1366"/>
      <c r="Z8" s="315"/>
      <c r="AA8" s="1355"/>
      <c r="AB8" s="304"/>
      <c r="AC8" s="294"/>
      <c r="AD8" s="1356"/>
    </row>
    <row r="9" spans="1:42" s="293" customFormat="1" ht="17.25" customHeight="1">
      <c r="A9" s="1532" t="s">
        <v>190</v>
      </c>
      <c r="B9" s="1533"/>
      <c r="C9" s="1534">
        <f t="shared" ref="C9:R9" si="0">SUM(C10:C26)</f>
        <v>34311000</v>
      </c>
      <c r="D9" s="1535">
        <f t="shared" si="0"/>
        <v>27654000</v>
      </c>
      <c r="E9" s="1536">
        <f t="shared" si="0"/>
        <v>6657000</v>
      </c>
      <c r="F9" s="1535">
        <f t="shared" si="0"/>
        <v>34311000</v>
      </c>
      <c r="G9" s="1535">
        <f t="shared" si="0"/>
        <v>0</v>
      </c>
      <c r="H9" s="1535">
        <f t="shared" si="0"/>
        <v>0</v>
      </c>
      <c r="I9" s="1334">
        <f t="shared" si="0"/>
        <v>51391000</v>
      </c>
      <c r="J9" s="1334">
        <f t="shared" si="0"/>
        <v>41102819</v>
      </c>
      <c r="K9" s="1333">
        <f t="shared" si="0"/>
        <v>10288181</v>
      </c>
      <c r="L9" s="1335">
        <f t="shared" si="0"/>
        <v>51391000</v>
      </c>
      <c r="M9" s="1335">
        <f t="shared" si="0"/>
        <v>0</v>
      </c>
      <c r="N9" s="1333">
        <f t="shared" si="0"/>
        <v>0</v>
      </c>
      <c r="O9" s="1336">
        <f t="shared" si="0"/>
        <v>0</v>
      </c>
      <c r="P9" s="1337">
        <f t="shared" si="0"/>
        <v>0</v>
      </c>
      <c r="Q9" s="1337">
        <f t="shared" si="0"/>
        <v>0</v>
      </c>
      <c r="R9" s="1337">
        <f t="shared" si="0"/>
        <v>0</v>
      </c>
      <c r="S9" s="1338">
        <f>SUM(S10:S27)</f>
        <v>51818504</v>
      </c>
      <c r="T9" s="1341">
        <f>SUM(T10:T27)</f>
        <v>40807986</v>
      </c>
      <c r="U9" s="1340">
        <f>SUM(U10:U27)</f>
        <v>11010518</v>
      </c>
      <c r="V9" s="1341">
        <f>SUM(V10:V27)</f>
        <v>51643244</v>
      </c>
      <c r="W9" s="1341">
        <f>SUM(W10:W26)</f>
        <v>175260</v>
      </c>
      <c r="X9" s="1340">
        <f>SUM(X10:X26)</f>
        <v>0</v>
      </c>
      <c r="Y9" s="1342">
        <f t="shared" ref="Y9:AD9" si="1">SUM(Y10:Y27)</f>
        <v>45997289</v>
      </c>
      <c r="Z9" s="1335">
        <f t="shared" si="1"/>
        <v>36224351</v>
      </c>
      <c r="AA9" s="1333">
        <f t="shared" si="1"/>
        <v>9772938</v>
      </c>
      <c r="AB9" s="1335">
        <f t="shared" si="1"/>
        <v>45822029</v>
      </c>
      <c r="AC9" s="1335">
        <f t="shared" si="1"/>
        <v>175260</v>
      </c>
      <c r="AD9" s="1333">
        <f t="shared" si="1"/>
        <v>0</v>
      </c>
    </row>
    <row r="10" spans="1:42" s="293" customFormat="1" ht="15" customHeight="1">
      <c r="A10" s="1511"/>
      <c r="B10" s="1537" t="s">
        <v>1089</v>
      </c>
      <c r="C10" s="1538">
        <v>19794000</v>
      </c>
      <c r="D10" s="1539">
        <v>15586000</v>
      </c>
      <c r="E10" s="1540">
        <v>4208000</v>
      </c>
      <c r="F10" s="1539">
        <v>19794000</v>
      </c>
      <c r="G10" s="1539">
        <v>0</v>
      </c>
      <c r="H10" s="1539">
        <v>0</v>
      </c>
      <c r="I10" s="1348">
        <f t="shared" ref="I10:I26" si="2">SUM(L10:N10)</f>
        <v>19794000</v>
      </c>
      <c r="J10" s="1348">
        <v>15586000</v>
      </c>
      <c r="K10" s="1347">
        <v>4208000</v>
      </c>
      <c r="L10" s="1137">
        <v>19794000</v>
      </c>
      <c r="M10" s="1137">
        <v>0</v>
      </c>
      <c r="N10" s="1347">
        <v>0</v>
      </c>
      <c r="O10" s="1349">
        <f t="shared" ref="O10:O26" si="3">SUM(P10:R10)</f>
        <v>0</v>
      </c>
      <c r="P10" s="1252"/>
      <c r="Q10" s="1252"/>
      <c r="R10" s="1252"/>
      <c r="S10" s="1350">
        <f t="shared" ref="S10:S27" si="4">SUM(V10:X10)</f>
        <v>19505321</v>
      </c>
      <c r="T10" s="451">
        <v>15358521</v>
      </c>
      <c r="U10" s="660">
        <v>4146800</v>
      </c>
      <c r="V10" s="451">
        <v>19505321</v>
      </c>
      <c r="W10" s="451">
        <f>SUM(M10+Q10)</f>
        <v>0</v>
      </c>
      <c r="X10" s="660">
        <f>SUM(N10+R10)</f>
        <v>0</v>
      </c>
      <c r="Y10" s="1352">
        <f t="shared" ref="Y10:Y27" si="5">SUM(Z10:AA10)</f>
        <v>15106676</v>
      </c>
      <c r="Z10" s="1137">
        <v>11895021</v>
      </c>
      <c r="AA10" s="1347">
        <v>3211655</v>
      </c>
      <c r="AB10" s="1137">
        <f>Y10</f>
        <v>15106676</v>
      </c>
      <c r="AC10" s="1137"/>
      <c r="AD10" s="1347"/>
    </row>
    <row r="11" spans="1:42" s="293" customFormat="1" ht="15" customHeight="1">
      <c r="A11" s="1511"/>
      <c r="B11" s="1537" t="s">
        <v>1090</v>
      </c>
      <c r="C11" s="1538">
        <v>635000</v>
      </c>
      <c r="D11" s="1539">
        <v>500000</v>
      </c>
      <c r="E11" s="1540">
        <v>135000</v>
      </c>
      <c r="F11" s="1539">
        <v>635000</v>
      </c>
      <c r="G11" s="1539">
        <v>0</v>
      </c>
      <c r="H11" s="1539">
        <v>0</v>
      </c>
      <c r="I11" s="1348">
        <f t="shared" si="2"/>
        <v>635000</v>
      </c>
      <c r="J11" s="1348">
        <f>SUM(I11)/1.27</f>
        <v>500000</v>
      </c>
      <c r="K11" s="1347">
        <f>SUM(J11)*0.27</f>
        <v>135000</v>
      </c>
      <c r="L11" s="1137">
        <v>635000</v>
      </c>
      <c r="M11" s="1137">
        <v>0</v>
      </c>
      <c r="N11" s="1347">
        <v>0</v>
      </c>
      <c r="O11" s="1349">
        <f t="shared" si="3"/>
        <v>0</v>
      </c>
      <c r="P11" s="1252"/>
      <c r="Q11" s="1252"/>
      <c r="R11" s="1252"/>
      <c r="S11" s="1350">
        <f t="shared" si="4"/>
        <v>1428959</v>
      </c>
      <c r="T11" s="451">
        <v>1131180</v>
      </c>
      <c r="U11" s="660">
        <v>297779</v>
      </c>
      <c r="V11" s="451">
        <v>1253699</v>
      </c>
      <c r="W11" s="451">
        <v>175260</v>
      </c>
      <c r="X11" s="660">
        <f t="shared" ref="X11:X18" si="6">SUM(N11+R11)</f>
        <v>0</v>
      </c>
      <c r="Y11" s="1352">
        <f t="shared" si="5"/>
        <v>1307100</v>
      </c>
      <c r="Z11" s="1137">
        <v>1035227</v>
      </c>
      <c r="AA11" s="1347">
        <v>271873</v>
      </c>
      <c r="AB11" s="1137">
        <f>Y11-AC11</f>
        <v>1131840</v>
      </c>
      <c r="AC11" s="1137">
        <v>175260</v>
      </c>
      <c r="AD11" s="1347"/>
    </row>
    <row r="12" spans="1:42" s="293" customFormat="1" ht="15" customHeight="1">
      <c r="A12" s="1511"/>
      <c r="B12" s="1537" t="s">
        <v>1091</v>
      </c>
      <c r="C12" s="1538">
        <v>6621000</v>
      </c>
      <c r="D12" s="1539">
        <v>5213000</v>
      </c>
      <c r="E12" s="1540">
        <v>1408000</v>
      </c>
      <c r="F12" s="1539">
        <v>6621000</v>
      </c>
      <c r="G12" s="1539">
        <v>0</v>
      </c>
      <c r="H12" s="1539">
        <v>0</v>
      </c>
      <c r="I12" s="1348">
        <f t="shared" si="2"/>
        <v>6621000</v>
      </c>
      <c r="J12" s="1348">
        <v>5213000</v>
      </c>
      <c r="K12" s="1347">
        <v>1408000</v>
      </c>
      <c r="L12" s="1137">
        <v>6621000</v>
      </c>
      <c r="M12" s="1137">
        <v>0</v>
      </c>
      <c r="N12" s="1347">
        <v>0</v>
      </c>
      <c r="O12" s="1349">
        <f t="shared" si="3"/>
        <v>0</v>
      </c>
      <c r="P12" s="1252"/>
      <c r="Q12" s="1252"/>
      <c r="R12" s="1252"/>
      <c r="S12" s="1350">
        <f t="shared" si="4"/>
        <v>6483089</v>
      </c>
      <c r="T12" s="451">
        <v>5104794</v>
      </c>
      <c r="U12" s="660">
        <v>1378295</v>
      </c>
      <c r="V12" s="451">
        <v>6483089</v>
      </c>
      <c r="W12" s="451">
        <f t="shared" ref="W12:W26" si="7">SUM(M12+Q12)</f>
        <v>0</v>
      </c>
      <c r="X12" s="660">
        <f t="shared" si="6"/>
        <v>0</v>
      </c>
      <c r="Y12" s="1352">
        <f t="shared" si="5"/>
        <v>5303282</v>
      </c>
      <c r="Z12" s="1137">
        <v>4175812</v>
      </c>
      <c r="AA12" s="1347">
        <v>1127470</v>
      </c>
      <c r="AB12" s="1137">
        <f t="shared" ref="AB12:AB27" si="8">Y12</f>
        <v>5303282</v>
      </c>
      <c r="AC12" s="1137"/>
      <c r="AD12" s="1347"/>
    </row>
    <row r="13" spans="1:42" s="293" customFormat="1" ht="15" customHeight="1">
      <c r="A13" s="1511"/>
      <c r="B13" s="1537" t="s">
        <v>1092</v>
      </c>
      <c r="C13" s="1538">
        <v>3000000</v>
      </c>
      <c r="D13" s="1539">
        <v>3000000</v>
      </c>
      <c r="E13" s="1540">
        <v>0</v>
      </c>
      <c r="F13" s="1539">
        <v>3000000</v>
      </c>
      <c r="G13" s="1539">
        <v>0</v>
      </c>
      <c r="H13" s="1539">
        <v>0</v>
      </c>
      <c r="I13" s="1348">
        <f t="shared" si="2"/>
        <v>3000000</v>
      </c>
      <c r="J13" s="1348">
        <f>SUM(I13)/1</f>
        <v>3000000</v>
      </c>
      <c r="K13" s="1347">
        <f>SUM(J13)*0</f>
        <v>0</v>
      </c>
      <c r="L13" s="1137">
        <v>3000000</v>
      </c>
      <c r="M13" s="1137">
        <v>0</v>
      </c>
      <c r="N13" s="1347">
        <v>0</v>
      </c>
      <c r="O13" s="1349">
        <f t="shared" si="3"/>
        <v>0</v>
      </c>
      <c r="P13" s="1252"/>
      <c r="Q13" s="1252"/>
      <c r="R13" s="1252"/>
      <c r="S13" s="1350">
        <f t="shared" si="4"/>
        <v>2950000</v>
      </c>
      <c r="T13" s="451">
        <v>2322835</v>
      </c>
      <c r="U13" s="660">
        <f>SUM(T13)*0.27</f>
        <v>627165</v>
      </c>
      <c r="V13" s="451">
        <v>2950000</v>
      </c>
      <c r="W13" s="451">
        <f t="shared" si="7"/>
        <v>0</v>
      </c>
      <c r="X13" s="660">
        <f t="shared" si="6"/>
        <v>0</v>
      </c>
      <c r="Y13" s="1352">
        <f t="shared" si="5"/>
        <v>2950000</v>
      </c>
      <c r="Z13" s="1137">
        <v>2322835</v>
      </c>
      <c r="AA13" s="1347">
        <v>627165</v>
      </c>
      <c r="AB13" s="1137">
        <f t="shared" si="8"/>
        <v>2950000</v>
      </c>
      <c r="AC13" s="1137"/>
      <c r="AD13" s="1347"/>
    </row>
    <row r="14" spans="1:42" s="293" customFormat="1" ht="15" customHeight="1">
      <c r="A14" s="1511"/>
      <c r="B14" s="1537" t="s">
        <v>1093</v>
      </c>
      <c r="C14" s="1538">
        <v>800000</v>
      </c>
      <c r="D14" s="1539">
        <v>630000</v>
      </c>
      <c r="E14" s="1540">
        <v>170000</v>
      </c>
      <c r="F14" s="1539">
        <v>800000</v>
      </c>
      <c r="G14" s="1539">
        <v>0</v>
      </c>
      <c r="H14" s="1539">
        <v>0</v>
      </c>
      <c r="I14" s="1348">
        <f t="shared" si="2"/>
        <v>800000</v>
      </c>
      <c r="J14" s="1348">
        <v>630000</v>
      </c>
      <c r="K14" s="1347">
        <v>170000</v>
      </c>
      <c r="L14" s="1137">
        <v>800000</v>
      </c>
      <c r="M14" s="1137">
        <v>0</v>
      </c>
      <c r="N14" s="1347">
        <v>0</v>
      </c>
      <c r="O14" s="1349">
        <f t="shared" si="3"/>
        <v>0</v>
      </c>
      <c r="P14" s="1252"/>
      <c r="Q14" s="1252"/>
      <c r="R14" s="1252"/>
      <c r="S14" s="1350">
        <f t="shared" si="4"/>
        <v>96012</v>
      </c>
      <c r="T14" s="451">
        <v>75600</v>
      </c>
      <c r="U14" s="660">
        <v>20412</v>
      </c>
      <c r="V14" s="451">
        <v>96012</v>
      </c>
      <c r="W14" s="451">
        <f t="shared" si="7"/>
        <v>0</v>
      </c>
      <c r="X14" s="660">
        <f t="shared" si="6"/>
        <v>0</v>
      </c>
      <c r="Y14" s="1352">
        <f t="shared" si="5"/>
        <v>96012</v>
      </c>
      <c r="Z14" s="1137">
        <v>75600</v>
      </c>
      <c r="AA14" s="1347">
        <v>20412</v>
      </c>
      <c r="AB14" s="1137">
        <f t="shared" si="8"/>
        <v>96012</v>
      </c>
      <c r="AC14" s="1137"/>
      <c r="AD14" s="1347"/>
    </row>
    <row r="15" spans="1:42" s="293" customFormat="1" ht="15" customHeight="1">
      <c r="A15" s="1511"/>
      <c r="B15" s="1537" t="s">
        <v>1094</v>
      </c>
      <c r="C15" s="1538">
        <v>1391000</v>
      </c>
      <c r="D15" s="1539">
        <v>1095000</v>
      </c>
      <c r="E15" s="1540">
        <v>296000</v>
      </c>
      <c r="F15" s="1539">
        <v>1391000</v>
      </c>
      <c r="G15" s="1539">
        <v>0</v>
      </c>
      <c r="H15" s="1539">
        <v>0</v>
      </c>
      <c r="I15" s="1348">
        <f t="shared" si="2"/>
        <v>1391000</v>
      </c>
      <c r="J15" s="1348">
        <v>1095000</v>
      </c>
      <c r="K15" s="1347">
        <v>296000</v>
      </c>
      <c r="L15" s="1137">
        <v>1391000</v>
      </c>
      <c r="M15" s="1137">
        <v>0</v>
      </c>
      <c r="N15" s="1347">
        <v>0</v>
      </c>
      <c r="O15" s="1349">
        <f t="shared" si="3"/>
        <v>0</v>
      </c>
      <c r="P15" s="1252"/>
      <c r="Q15" s="1252"/>
      <c r="R15" s="1252"/>
      <c r="S15" s="1350">
        <f t="shared" si="4"/>
        <v>2003791</v>
      </c>
      <c r="T15" s="451">
        <v>1577788</v>
      </c>
      <c r="U15" s="660">
        <v>426003</v>
      </c>
      <c r="V15" s="451">
        <v>2003791</v>
      </c>
      <c r="W15" s="451">
        <f t="shared" si="7"/>
        <v>0</v>
      </c>
      <c r="X15" s="660">
        <f t="shared" si="6"/>
        <v>0</v>
      </c>
      <c r="Y15" s="1352">
        <f t="shared" si="5"/>
        <v>1882887</v>
      </c>
      <c r="Z15" s="1137">
        <v>1482588</v>
      </c>
      <c r="AA15" s="1347">
        <v>400299</v>
      </c>
      <c r="AB15" s="1137">
        <f t="shared" si="8"/>
        <v>1882887</v>
      </c>
      <c r="AC15" s="1137"/>
      <c r="AD15" s="1347"/>
    </row>
    <row r="16" spans="1:42" s="293" customFormat="1" ht="15" customHeight="1">
      <c r="A16" s="1511"/>
      <c r="B16" s="1537" t="s">
        <v>1095</v>
      </c>
      <c r="C16" s="1538">
        <v>2070000</v>
      </c>
      <c r="D16" s="1539">
        <v>1630000</v>
      </c>
      <c r="E16" s="1540">
        <v>440000</v>
      </c>
      <c r="F16" s="1539">
        <v>2070000</v>
      </c>
      <c r="G16" s="1539">
        <v>0</v>
      </c>
      <c r="H16" s="1539">
        <v>0</v>
      </c>
      <c r="I16" s="1348">
        <f t="shared" si="2"/>
        <v>2070000</v>
      </c>
      <c r="J16" s="1348">
        <v>1630000</v>
      </c>
      <c r="K16" s="1347">
        <v>440000</v>
      </c>
      <c r="L16" s="1137">
        <v>2070000</v>
      </c>
      <c r="M16" s="1137">
        <v>0</v>
      </c>
      <c r="N16" s="1347">
        <v>0</v>
      </c>
      <c r="O16" s="1349">
        <f t="shared" si="3"/>
        <v>0</v>
      </c>
      <c r="P16" s="1252"/>
      <c r="Q16" s="1252"/>
      <c r="R16" s="1252"/>
      <c r="S16" s="1350">
        <f t="shared" si="4"/>
        <v>2209927</v>
      </c>
      <c r="T16" s="451">
        <f t="shared" ref="T16:T25" si="9">SUM(S16)/1.27</f>
        <v>1740100</v>
      </c>
      <c r="U16" s="660">
        <v>469827</v>
      </c>
      <c r="V16" s="451">
        <v>2209927</v>
      </c>
      <c r="W16" s="451">
        <f t="shared" si="7"/>
        <v>0</v>
      </c>
      <c r="X16" s="660">
        <f t="shared" si="6"/>
        <v>0</v>
      </c>
      <c r="Y16" s="1352">
        <f t="shared" si="5"/>
        <v>2209927</v>
      </c>
      <c r="Z16" s="1137">
        <v>1740100</v>
      </c>
      <c r="AA16" s="1347">
        <v>469827</v>
      </c>
      <c r="AB16" s="1137">
        <f t="shared" si="8"/>
        <v>2209927</v>
      </c>
      <c r="AC16" s="1137"/>
      <c r="AD16" s="1347"/>
    </row>
    <row r="17" spans="1:30" s="293" customFormat="1" ht="15" customHeight="1">
      <c r="A17" s="1511"/>
      <c r="B17" s="1537" t="s">
        <v>1096</v>
      </c>
      <c r="C17" s="1538">
        <v>0</v>
      </c>
      <c r="D17" s="1539">
        <v>0</v>
      </c>
      <c r="E17" s="1540">
        <v>0</v>
      </c>
      <c r="F17" s="1539">
        <v>0</v>
      </c>
      <c r="G17" s="1539">
        <v>0</v>
      </c>
      <c r="H17" s="1539">
        <v>0</v>
      </c>
      <c r="I17" s="1348">
        <f t="shared" si="2"/>
        <v>572000</v>
      </c>
      <c r="J17" s="1348">
        <f t="shared" ref="J17:J25" si="10">SUM(I17)/1.27</f>
        <v>450394</v>
      </c>
      <c r="K17" s="1347">
        <f>SUM(J17)*0.27</f>
        <v>121606</v>
      </c>
      <c r="L17" s="1137">
        <v>572000</v>
      </c>
      <c r="M17" s="1137">
        <v>0</v>
      </c>
      <c r="N17" s="1347">
        <v>0</v>
      </c>
      <c r="O17" s="1349">
        <f t="shared" si="3"/>
        <v>0</v>
      </c>
      <c r="P17" s="1252"/>
      <c r="Q17" s="1252"/>
      <c r="R17" s="1252"/>
      <c r="S17" s="1350">
        <f t="shared" si="4"/>
        <v>571500</v>
      </c>
      <c r="T17" s="451">
        <f t="shared" si="9"/>
        <v>450000</v>
      </c>
      <c r="U17" s="660">
        <f t="shared" ref="U17:U25" si="11">SUM(T17)*0.27</f>
        <v>121500</v>
      </c>
      <c r="V17" s="451">
        <v>571500</v>
      </c>
      <c r="W17" s="451">
        <f t="shared" si="7"/>
        <v>0</v>
      </c>
      <c r="X17" s="660">
        <f t="shared" si="6"/>
        <v>0</v>
      </c>
      <c r="Y17" s="1352">
        <f t="shared" si="5"/>
        <v>571500</v>
      </c>
      <c r="Z17" s="1137">
        <v>450000</v>
      </c>
      <c r="AA17" s="1347">
        <v>121500</v>
      </c>
      <c r="AB17" s="1137">
        <f t="shared" si="8"/>
        <v>571500</v>
      </c>
      <c r="AC17" s="1137"/>
      <c r="AD17" s="1347"/>
    </row>
    <row r="18" spans="1:30" s="293" customFormat="1" ht="15" customHeight="1">
      <c r="A18" s="1511"/>
      <c r="B18" s="1254" t="s">
        <v>1097</v>
      </c>
      <c r="C18" s="1512">
        <v>0</v>
      </c>
      <c r="D18" s="1513">
        <v>0</v>
      </c>
      <c r="E18" s="1514">
        <v>0</v>
      </c>
      <c r="F18" s="1541">
        <v>0</v>
      </c>
      <c r="G18" s="1541">
        <v>0</v>
      </c>
      <c r="H18" s="1541">
        <v>0</v>
      </c>
      <c r="I18" s="1348">
        <f t="shared" si="2"/>
        <v>2459000</v>
      </c>
      <c r="J18" s="1348">
        <f t="shared" si="10"/>
        <v>1936220</v>
      </c>
      <c r="K18" s="1347">
        <f>SUM(J18)*0.27+1</f>
        <v>522780</v>
      </c>
      <c r="L18" s="1137">
        <v>2459000</v>
      </c>
      <c r="M18" s="1137">
        <v>0</v>
      </c>
      <c r="N18" s="1347">
        <v>0</v>
      </c>
      <c r="O18" s="1349">
        <f t="shared" si="3"/>
        <v>0</v>
      </c>
      <c r="P18" s="1252"/>
      <c r="Q18" s="1252"/>
      <c r="R18" s="1252"/>
      <c r="S18" s="1350">
        <f t="shared" si="4"/>
        <v>2459355</v>
      </c>
      <c r="T18" s="451">
        <f t="shared" si="9"/>
        <v>1936500</v>
      </c>
      <c r="U18" s="660">
        <f t="shared" si="11"/>
        <v>522855</v>
      </c>
      <c r="V18" s="451">
        <v>2459355</v>
      </c>
      <c r="W18" s="451">
        <f t="shared" si="7"/>
        <v>0</v>
      </c>
      <c r="X18" s="660">
        <f t="shared" si="6"/>
        <v>0</v>
      </c>
      <c r="Y18" s="1352">
        <f t="shared" si="5"/>
        <v>2459355</v>
      </c>
      <c r="Z18" s="1137">
        <v>1936500</v>
      </c>
      <c r="AA18" s="1347">
        <v>522855</v>
      </c>
      <c r="AB18" s="1137">
        <f t="shared" si="8"/>
        <v>2459355</v>
      </c>
      <c r="AC18" s="1137"/>
      <c r="AD18" s="1347"/>
    </row>
    <row r="19" spans="1:30" s="293" customFormat="1" ht="14.25" customHeight="1">
      <c r="A19" s="1511"/>
      <c r="B19" s="1254" t="s">
        <v>1098</v>
      </c>
      <c r="C19" s="1512">
        <v>0</v>
      </c>
      <c r="D19" s="1513">
        <v>0</v>
      </c>
      <c r="E19" s="1514">
        <v>0</v>
      </c>
      <c r="F19" s="1541">
        <v>0</v>
      </c>
      <c r="G19" s="1541">
        <v>0</v>
      </c>
      <c r="H19" s="1541">
        <v>0</v>
      </c>
      <c r="I19" s="1348">
        <f t="shared" si="2"/>
        <v>762000</v>
      </c>
      <c r="J19" s="1348">
        <f t="shared" si="10"/>
        <v>600000</v>
      </c>
      <c r="K19" s="1347">
        <f t="shared" ref="K19:K25" si="12">SUM(J19)*0.27</f>
        <v>162000</v>
      </c>
      <c r="L19" s="1137">
        <v>762000</v>
      </c>
      <c r="M19" s="1137">
        <v>0</v>
      </c>
      <c r="N19" s="1347">
        <v>0</v>
      </c>
      <c r="O19" s="1349">
        <f t="shared" si="3"/>
        <v>0</v>
      </c>
      <c r="P19" s="1252"/>
      <c r="Q19" s="1252"/>
      <c r="R19" s="1252"/>
      <c r="S19" s="1350">
        <f t="shared" si="4"/>
        <v>762000</v>
      </c>
      <c r="T19" s="451">
        <f t="shared" si="9"/>
        <v>600000</v>
      </c>
      <c r="U19" s="660">
        <f t="shared" si="11"/>
        <v>162000</v>
      </c>
      <c r="V19" s="451">
        <v>762000</v>
      </c>
      <c r="W19" s="451">
        <f t="shared" si="7"/>
        <v>0</v>
      </c>
      <c r="X19" s="660">
        <v>0</v>
      </c>
      <c r="Y19" s="1352">
        <f t="shared" si="5"/>
        <v>762000</v>
      </c>
      <c r="Z19" s="1137">
        <v>600000</v>
      </c>
      <c r="AA19" s="1347">
        <v>162000</v>
      </c>
      <c r="AB19" s="1137">
        <f t="shared" si="8"/>
        <v>762000</v>
      </c>
      <c r="AC19" s="1137"/>
      <c r="AD19" s="1347"/>
    </row>
    <row r="20" spans="1:30" s="293" customFormat="1" ht="14.25" customHeight="1">
      <c r="A20" s="1511"/>
      <c r="B20" s="1254" t="s">
        <v>1099</v>
      </c>
      <c r="C20" s="1512">
        <v>0</v>
      </c>
      <c r="D20" s="1513">
        <v>0</v>
      </c>
      <c r="E20" s="1514">
        <v>0</v>
      </c>
      <c r="F20" s="1541">
        <v>0</v>
      </c>
      <c r="G20" s="1541">
        <v>0</v>
      </c>
      <c r="H20" s="1541">
        <v>0</v>
      </c>
      <c r="I20" s="1348">
        <f t="shared" si="2"/>
        <v>6759000</v>
      </c>
      <c r="J20" s="1348">
        <f t="shared" si="10"/>
        <v>5322047</v>
      </c>
      <c r="K20" s="1347">
        <f t="shared" si="12"/>
        <v>1436953</v>
      </c>
      <c r="L20" s="1137">
        <v>6759000</v>
      </c>
      <c r="M20" s="1137">
        <v>0</v>
      </c>
      <c r="N20" s="1347">
        <v>0</v>
      </c>
      <c r="O20" s="1349">
        <f t="shared" si="3"/>
        <v>0</v>
      </c>
      <c r="P20" s="1252"/>
      <c r="Q20" s="1252"/>
      <c r="R20" s="1252"/>
      <c r="S20" s="1350">
        <f t="shared" si="4"/>
        <v>6761074</v>
      </c>
      <c r="T20" s="451">
        <f t="shared" si="9"/>
        <v>5323680</v>
      </c>
      <c r="U20" s="660">
        <f t="shared" si="11"/>
        <v>1437394</v>
      </c>
      <c r="V20" s="451">
        <v>6761074</v>
      </c>
      <c r="W20" s="451">
        <f t="shared" si="7"/>
        <v>0</v>
      </c>
      <c r="X20" s="660">
        <v>0</v>
      </c>
      <c r="Y20" s="1352">
        <f t="shared" si="5"/>
        <v>6761074</v>
      </c>
      <c r="Z20" s="1137">
        <v>5323680</v>
      </c>
      <c r="AA20" s="1347">
        <v>1437394</v>
      </c>
      <c r="AB20" s="1137">
        <f t="shared" si="8"/>
        <v>6761074</v>
      </c>
      <c r="AC20" s="1137"/>
      <c r="AD20" s="1347"/>
    </row>
    <row r="21" spans="1:30" s="293" customFormat="1" ht="14.25" customHeight="1">
      <c r="A21" s="1511"/>
      <c r="B21" s="1254" t="s">
        <v>1100</v>
      </c>
      <c r="C21" s="1512">
        <v>0</v>
      </c>
      <c r="D21" s="1513">
        <v>0</v>
      </c>
      <c r="E21" s="1514">
        <v>0</v>
      </c>
      <c r="F21" s="1541">
        <v>0</v>
      </c>
      <c r="G21" s="1541">
        <v>0</v>
      </c>
      <c r="H21" s="1541">
        <v>0</v>
      </c>
      <c r="I21" s="1348">
        <f t="shared" si="2"/>
        <v>2873000</v>
      </c>
      <c r="J21" s="1348">
        <f t="shared" si="10"/>
        <v>2262205</v>
      </c>
      <c r="K21" s="1347">
        <f t="shared" si="12"/>
        <v>610795</v>
      </c>
      <c r="L21" s="1137">
        <v>2873000</v>
      </c>
      <c r="M21" s="1137">
        <v>0</v>
      </c>
      <c r="N21" s="1347">
        <v>0</v>
      </c>
      <c r="O21" s="1349">
        <f t="shared" si="3"/>
        <v>0</v>
      </c>
      <c r="P21" s="1252"/>
      <c r="Q21" s="1252"/>
      <c r="R21" s="1252"/>
      <c r="S21" s="1350">
        <f t="shared" si="4"/>
        <v>2873477</v>
      </c>
      <c r="T21" s="451">
        <f t="shared" si="9"/>
        <v>2262580</v>
      </c>
      <c r="U21" s="660">
        <f t="shared" si="11"/>
        <v>610897</v>
      </c>
      <c r="V21" s="451">
        <v>2873477</v>
      </c>
      <c r="W21" s="451">
        <f t="shared" si="7"/>
        <v>0</v>
      </c>
      <c r="X21" s="660">
        <v>0</v>
      </c>
      <c r="Y21" s="1352">
        <f t="shared" si="5"/>
        <v>2873477</v>
      </c>
      <c r="Z21" s="1137">
        <v>2262580</v>
      </c>
      <c r="AA21" s="1347">
        <v>610897</v>
      </c>
      <c r="AB21" s="1137">
        <f t="shared" si="8"/>
        <v>2873477</v>
      </c>
      <c r="AC21" s="1137"/>
      <c r="AD21" s="1347"/>
    </row>
    <row r="22" spans="1:30" s="293" customFormat="1" ht="14.25" customHeight="1">
      <c r="A22" s="1511"/>
      <c r="B22" s="1254" t="s">
        <v>1101</v>
      </c>
      <c r="C22" s="1512">
        <v>0</v>
      </c>
      <c r="D22" s="1513">
        <v>0</v>
      </c>
      <c r="E22" s="1514">
        <v>0</v>
      </c>
      <c r="F22" s="1541">
        <v>0</v>
      </c>
      <c r="G22" s="1541">
        <v>0</v>
      </c>
      <c r="H22" s="1541">
        <v>0</v>
      </c>
      <c r="I22" s="1348">
        <f t="shared" si="2"/>
        <v>410000</v>
      </c>
      <c r="J22" s="1348">
        <f t="shared" si="10"/>
        <v>322835</v>
      </c>
      <c r="K22" s="1347">
        <f t="shared" si="12"/>
        <v>87165</v>
      </c>
      <c r="L22" s="1137">
        <v>410000</v>
      </c>
      <c r="M22" s="1137">
        <v>0</v>
      </c>
      <c r="N22" s="1347">
        <v>0</v>
      </c>
      <c r="O22" s="1349">
        <f t="shared" si="3"/>
        <v>0</v>
      </c>
      <c r="P22" s="1252"/>
      <c r="Q22" s="1252"/>
      <c r="R22" s="1252"/>
      <c r="S22" s="1350">
        <f t="shared" si="4"/>
        <v>410210</v>
      </c>
      <c r="T22" s="451">
        <f t="shared" si="9"/>
        <v>323000</v>
      </c>
      <c r="U22" s="660">
        <f t="shared" si="11"/>
        <v>87210</v>
      </c>
      <c r="V22" s="451">
        <v>410210</v>
      </c>
      <c r="W22" s="451">
        <f t="shared" si="7"/>
        <v>0</v>
      </c>
      <c r="X22" s="660">
        <v>0</v>
      </c>
      <c r="Y22" s="1352">
        <f t="shared" si="5"/>
        <v>410210</v>
      </c>
      <c r="Z22" s="1137">
        <v>323000</v>
      </c>
      <c r="AA22" s="1347">
        <v>87210</v>
      </c>
      <c r="AB22" s="1137">
        <f t="shared" si="8"/>
        <v>410210</v>
      </c>
      <c r="AC22" s="1137"/>
      <c r="AD22" s="1347"/>
    </row>
    <row r="23" spans="1:30" s="293" customFormat="1" ht="14.25" customHeight="1">
      <c r="A23" s="1511"/>
      <c r="B23" s="1254" t="s">
        <v>1102</v>
      </c>
      <c r="C23" s="1512">
        <v>0</v>
      </c>
      <c r="D23" s="1513">
        <v>0</v>
      </c>
      <c r="E23" s="1514">
        <v>0</v>
      </c>
      <c r="F23" s="1541">
        <v>0</v>
      </c>
      <c r="G23" s="1541">
        <v>0</v>
      </c>
      <c r="H23" s="1541">
        <v>0</v>
      </c>
      <c r="I23" s="1348">
        <f t="shared" si="2"/>
        <v>993000</v>
      </c>
      <c r="J23" s="1348">
        <f t="shared" si="10"/>
        <v>781890</v>
      </c>
      <c r="K23" s="1347">
        <f t="shared" si="12"/>
        <v>211110</v>
      </c>
      <c r="L23" s="1137">
        <v>993000</v>
      </c>
      <c r="M23" s="1137">
        <v>0</v>
      </c>
      <c r="N23" s="1347">
        <v>0</v>
      </c>
      <c r="O23" s="1349">
        <f t="shared" si="3"/>
        <v>0</v>
      </c>
      <c r="P23" s="1252"/>
      <c r="Q23" s="1252"/>
      <c r="R23" s="1252"/>
      <c r="S23" s="1350">
        <f t="shared" si="4"/>
        <v>993140</v>
      </c>
      <c r="T23" s="451">
        <f t="shared" si="9"/>
        <v>782000</v>
      </c>
      <c r="U23" s="660">
        <f t="shared" si="11"/>
        <v>211140</v>
      </c>
      <c r="V23" s="451">
        <v>993140</v>
      </c>
      <c r="W23" s="451">
        <f t="shared" si="7"/>
        <v>0</v>
      </c>
      <c r="X23" s="660">
        <v>0</v>
      </c>
      <c r="Y23" s="1352">
        <f t="shared" si="5"/>
        <v>993140</v>
      </c>
      <c r="Z23" s="1137">
        <v>782000</v>
      </c>
      <c r="AA23" s="1347">
        <v>211140</v>
      </c>
      <c r="AB23" s="1137">
        <f t="shared" si="8"/>
        <v>993140</v>
      </c>
      <c r="AC23" s="1137"/>
      <c r="AD23" s="1347"/>
    </row>
    <row r="24" spans="1:30" s="293" customFormat="1" ht="14.25" customHeight="1">
      <c r="A24" s="1511"/>
      <c r="B24" s="1254" t="s">
        <v>1103</v>
      </c>
      <c r="C24" s="1512">
        <v>0</v>
      </c>
      <c r="D24" s="1513">
        <v>0</v>
      </c>
      <c r="E24" s="1514">
        <v>0</v>
      </c>
      <c r="F24" s="1541">
        <v>0</v>
      </c>
      <c r="G24" s="1541">
        <v>0</v>
      </c>
      <c r="H24" s="1541">
        <v>0</v>
      </c>
      <c r="I24" s="1348">
        <f t="shared" si="2"/>
        <v>550000</v>
      </c>
      <c r="J24" s="1348">
        <f t="shared" si="10"/>
        <v>433071</v>
      </c>
      <c r="K24" s="1347">
        <f t="shared" si="12"/>
        <v>116929</v>
      </c>
      <c r="L24" s="1137">
        <v>550000</v>
      </c>
      <c r="M24" s="1137">
        <v>0</v>
      </c>
      <c r="N24" s="1347">
        <v>0</v>
      </c>
      <c r="O24" s="1349">
        <f t="shared" si="3"/>
        <v>0</v>
      </c>
      <c r="P24" s="1252"/>
      <c r="Q24" s="1252"/>
      <c r="R24" s="1252"/>
      <c r="S24" s="1350">
        <f t="shared" si="4"/>
        <v>550000</v>
      </c>
      <c r="T24" s="451">
        <f t="shared" si="9"/>
        <v>433071</v>
      </c>
      <c r="U24" s="660">
        <f t="shared" si="11"/>
        <v>116929</v>
      </c>
      <c r="V24" s="451">
        <v>550000</v>
      </c>
      <c r="W24" s="451">
        <f t="shared" si="7"/>
        <v>0</v>
      </c>
      <c r="X24" s="660">
        <v>0</v>
      </c>
      <c r="Y24" s="1352">
        <f t="shared" si="5"/>
        <v>550000</v>
      </c>
      <c r="Z24" s="1137">
        <v>433071</v>
      </c>
      <c r="AA24" s="1347">
        <v>116929</v>
      </c>
      <c r="AB24" s="1137">
        <f t="shared" si="8"/>
        <v>550000</v>
      </c>
      <c r="AC24" s="1137"/>
      <c r="AD24" s="1347"/>
    </row>
    <row r="25" spans="1:30" s="293" customFormat="1" ht="14.25" customHeight="1">
      <c r="A25" s="1511"/>
      <c r="B25" s="1254" t="s">
        <v>1104</v>
      </c>
      <c r="C25" s="1512">
        <v>0</v>
      </c>
      <c r="D25" s="1513">
        <v>0</v>
      </c>
      <c r="E25" s="1514">
        <v>0</v>
      </c>
      <c r="F25" s="1541">
        <v>0</v>
      </c>
      <c r="G25" s="1541">
        <v>0</v>
      </c>
      <c r="H25" s="1541">
        <v>0</v>
      </c>
      <c r="I25" s="1348">
        <f t="shared" si="2"/>
        <v>336000</v>
      </c>
      <c r="J25" s="1348">
        <f t="shared" si="10"/>
        <v>264567</v>
      </c>
      <c r="K25" s="1347">
        <f t="shared" si="12"/>
        <v>71433</v>
      </c>
      <c r="L25" s="1137">
        <v>336000</v>
      </c>
      <c r="M25" s="1137">
        <v>0</v>
      </c>
      <c r="N25" s="1347">
        <v>0</v>
      </c>
      <c r="O25" s="1349">
        <f t="shared" si="3"/>
        <v>0</v>
      </c>
      <c r="P25" s="1252"/>
      <c r="Q25" s="1252"/>
      <c r="R25" s="1252"/>
      <c r="S25" s="1350">
        <f t="shared" si="4"/>
        <v>336000</v>
      </c>
      <c r="T25" s="451">
        <f t="shared" si="9"/>
        <v>264567</v>
      </c>
      <c r="U25" s="660">
        <f t="shared" si="11"/>
        <v>71433</v>
      </c>
      <c r="V25" s="451">
        <f>SUM(L25+P25)</f>
        <v>336000</v>
      </c>
      <c r="W25" s="451">
        <f t="shared" si="7"/>
        <v>0</v>
      </c>
      <c r="X25" s="660">
        <v>0</v>
      </c>
      <c r="Y25" s="1352">
        <f t="shared" si="5"/>
        <v>336000</v>
      </c>
      <c r="Z25" s="1137">
        <v>264567</v>
      </c>
      <c r="AA25" s="1347">
        <v>71433</v>
      </c>
      <c r="AB25" s="1137">
        <f t="shared" si="8"/>
        <v>336000</v>
      </c>
      <c r="AC25" s="1137"/>
      <c r="AD25" s="1347"/>
    </row>
    <row r="26" spans="1:30" s="293" customFormat="1" ht="14.25" customHeight="1">
      <c r="A26" s="1511"/>
      <c r="B26" s="1537" t="s">
        <v>1105</v>
      </c>
      <c r="C26" s="1538">
        <v>0</v>
      </c>
      <c r="D26" s="1539">
        <v>0</v>
      </c>
      <c r="E26" s="1540">
        <v>0</v>
      </c>
      <c r="F26" s="1539">
        <v>0</v>
      </c>
      <c r="G26" s="1539">
        <v>0</v>
      </c>
      <c r="H26" s="1539">
        <v>0</v>
      </c>
      <c r="I26" s="1348">
        <f t="shared" si="2"/>
        <v>1366000</v>
      </c>
      <c r="J26" s="1348">
        <f>SUM(I26)/1.27-1</f>
        <v>1075590</v>
      </c>
      <c r="K26" s="1347">
        <f>SUM(J26)*0.27+1</f>
        <v>290410</v>
      </c>
      <c r="L26" s="1137">
        <v>1366000</v>
      </c>
      <c r="M26" s="1137">
        <v>0</v>
      </c>
      <c r="N26" s="1347">
        <v>0</v>
      </c>
      <c r="O26" s="1349">
        <f t="shared" si="3"/>
        <v>0</v>
      </c>
      <c r="P26" s="1252"/>
      <c r="Q26" s="1252"/>
      <c r="R26" s="1252"/>
      <c r="S26" s="1350">
        <f t="shared" si="4"/>
        <v>1366000</v>
      </c>
      <c r="T26" s="451">
        <f>SUM(S26)/1.27-1</f>
        <v>1075590</v>
      </c>
      <c r="U26" s="660">
        <f>SUM(T26)*0.27+1</f>
        <v>290410</v>
      </c>
      <c r="V26" s="451">
        <f>SUM(L26+P26)</f>
        <v>1366000</v>
      </c>
      <c r="W26" s="451">
        <f t="shared" si="7"/>
        <v>0</v>
      </c>
      <c r="X26" s="660">
        <v>0</v>
      </c>
      <c r="Y26" s="1352">
        <f t="shared" si="5"/>
        <v>1366000</v>
      </c>
      <c r="Z26" s="1137">
        <v>1075590</v>
      </c>
      <c r="AA26" s="1347">
        <v>290410</v>
      </c>
      <c r="AB26" s="1137">
        <f t="shared" si="8"/>
        <v>1366000</v>
      </c>
      <c r="AC26" s="1137"/>
      <c r="AD26" s="1347"/>
    </row>
    <row r="27" spans="1:30" s="293" customFormat="1" ht="16.5" customHeight="1">
      <c r="A27" s="1511"/>
      <c r="B27" s="1542" t="s">
        <v>1106</v>
      </c>
      <c r="C27" s="1538"/>
      <c r="D27" s="1539"/>
      <c r="E27" s="1540"/>
      <c r="F27" s="1539"/>
      <c r="G27" s="1539"/>
      <c r="H27" s="1539"/>
      <c r="I27" s="1367"/>
      <c r="J27" s="1354"/>
      <c r="K27" s="1355"/>
      <c r="L27" s="304"/>
      <c r="M27" s="294"/>
      <c r="N27" s="1356"/>
      <c r="O27" s="1357"/>
      <c r="P27" s="1358"/>
      <c r="Q27" s="1359"/>
      <c r="R27" s="1359"/>
      <c r="S27" s="1350">
        <f t="shared" si="4"/>
        <v>58649</v>
      </c>
      <c r="T27" s="451">
        <f>SUM(S27)/1.27</f>
        <v>46180</v>
      </c>
      <c r="U27" s="660">
        <f>SUM(T27)*0.27</f>
        <v>12469</v>
      </c>
      <c r="V27" s="451">
        <v>58649</v>
      </c>
      <c r="W27" s="1364"/>
      <c r="X27" s="1365"/>
      <c r="Y27" s="1352">
        <f t="shared" si="5"/>
        <v>58649</v>
      </c>
      <c r="Z27" s="1137">
        <v>46180</v>
      </c>
      <c r="AA27" s="1347">
        <v>12469</v>
      </c>
      <c r="AB27" s="1137">
        <f t="shared" si="8"/>
        <v>58649</v>
      </c>
      <c r="AC27" s="1543"/>
      <c r="AD27" s="1544"/>
    </row>
    <row r="28" spans="1:30" s="293" customFormat="1" ht="14.25" customHeight="1">
      <c r="A28" s="1532" t="s">
        <v>978</v>
      </c>
      <c r="B28" s="1533"/>
      <c r="C28" s="1534">
        <f t="shared" ref="C28:R28" si="13">SUM(C29:C34)</f>
        <v>4877000</v>
      </c>
      <c r="D28" s="1535">
        <f t="shared" si="13"/>
        <v>3840000</v>
      </c>
      <c r="E28" s="1536">
        <f t="shared" si="13"/>
        <v>1037000</v>
      </c>
      <c r="F28" s="1535">
        <f t="shared" si="13"/>
        <v>4877000</v>
      </c>
      <c r="G28" s="1535">
        <f t="shared" si="13"/>
        <v>0</v>
      </c>
      <c r="H28" s="1535">
        <f t="shared" si="13"/>
        <v>0</v>
      </c>
      <c r="I28" s="1334">
        <f t="shared" si="13"/>
        <v>17612326</v>
      </c>
      <c r="J28" s="1334">
        <f t="shared" si="13"/>
        <v>13867816</v>
      </c>
      <c r="K28" s="1333">
        <f t="shared" si="13"/>
        <v>3744510</v>
      </c>
      <c r="L28" s="1335">
        <f t="shared" si="13"/>
        <v>17612326</v>
      </c>
      <c r="M28" s="1335">
        <f t="shared" si="13"/>
        <v>0</v>
      </c>
      <c r="N28" s="1333">
        <f t="shared" si="13"/>
        <v>0</v>
      </c>
      <c r="O28" s="1336">
        <f t="shared" si="13"/>
        <v>0</v>
      </c>
      <c r="P28" s="1337">
        <f t="shared" si="13"/>
        <v>0</v>
      </c>
      <c r="Q28" s="1337">
        <f t="shared" si="13"/>
        <v>0</v>
      </c>
      <c r="R28" s="1337">
        <f t="shared" si="13"/>
        <v>0</v>
      </c>
      <c r="S28" s="1338">
        <f>SUM(S29:S36)</f>
        <v>21101626</v>
      </c>
      <c r="T28" s="1341">
        <f>SUM(T29:T36)</f>
        <v>16615296</v>
      </c>
      <c r="U28" s="1340">
        <f>SUM(U29:U36)</f>
        <v>4486330</v>
      </c>
      <c r="V28" s="1341">
        <f>SUM(V29:V36)</f>
        <v>21101626</v>
      </c>
      <c r="W28" s="1341">
        <f>SUM(W29:W34)</f>
        <v>0</v>
      </c>
      <c r="X28" s="1340">
        <f>SUM(X29:X34)</f>
        <v>0</v>
      </c>
      <c r="Y28" s="1342">
        <f>SUM(Y29:Y36)</f>
        <v>16037753</v>
      </c>
      <c r="Z28" s="1335">
        <f>SUM(Z29:Z36)</f>
        <v>12628152</v>
      </c>
      <c r="AA28" s="1333">
        <f>SUM(AA29:AA36)</f>
        <v>3409601</v>
      </c>
      <c r="AB28" s="1335">
        <f>SUM(AB29:AB36)</f>
        <v>16037753</v>
      </c>
      <c r="AC28" s="1335">
        <f>SUM(AC29:AC34)</f>
        <v>0</v>
      </c>
      <c r="AD28" s="1333">
        <f>SUM(AD29:AD34)</f>
        <v>0</v>
      </c>
    </row>
    <row r="29" spans="1:30" s="293" customFormat="1" ht="14.25" customHeight="1">
      <c r="A29" s="1545"/>
      <c r="B29" s="1537" t="s">
        <v>1107</v>
      </c>
      <c r="C29" s="1538">
        <v>1778000</v>
      </c>
      <c r="D29" s="1539">
        <v>1400000</v>
      </c>
      <c r="E29" s="1540">
        <v>378000</v>
      </c>
      <c r="F29" s="1539">
        <v>1778000</v>
      </c>
      <c r="G29" s="1539">
        <v>0</v>
      </c>
      <c r="H29" s="1539">
        <v>0</v>
      </c>
      <c r="I29" s="1348">
        <f t="shared" ref="I29:I34" si="14">SUM(L29:N29)</f>
        <v>1778000</v>
      </c>
      <c r="J29" s="1348">
        <f>SUM(I29)/1.27</f>
        <v>1400000</v>
      </c>
      <c r="K29" s="1347">
        <f>SUM(J29)*0.27</f>
        <v>378000</v>
      </c>
      <c r="L29" s="1137">
        <v>1778000</v>
      </c>
      <c r="M29" s="1137">
        <v>0</v>
      </c>
      <c r="N29" s="1347">
        <v>0</v>
      </c>
      <c r="O29" s="1349">
        <f t="shared" ref="O29:O34" si="15">SUM(P29:R29)</f>
        <v>0</v>
      </c>
      <c r="P29" s="1252"/>
      <c r="Q29" s="1252"/>
      <c r="R29" s="1252"/>
      <c r="S29" s="1350">
        <f t="shared" ref="S29:S36" si="16">SUM(V29:X29)</f>
        <v>3248000</v>
      </c>
      <c r="T29" s="451">
        <f>SUM(S29)/1.27</f>
        <v>2557480</v>
      </c>
      <c r="U29" s="660">
        <f>SUM(T29)*0.27</f>
        <v>690520</v>
      </c>
      <c r="V29" s="451">
        <v>3248000</v>
      </c>
      <c r="W29" s="451">
        <f t="shared" ref="W29:X34" si="17">SUM(M29+Q29)</f>
        <v>0</v>
      </c>
      <c r="X29" s="660">
        <f t="shared" si="17"/>
        <v>0</v>
      </c>
      <c r="Y29" s="1352">
        <v>2688405</v>
      </c>
      <c r="Z29" s="1137">
        <v>2116853</v>
      </c>
      <c r="AA29" s="1347">
        <v>571552</v>
      </c>
      <c r="AB29" s="1137">
        <f t="shared" ref="AB29:AB36" si="18">SUM(Z29:AA29)</f>
        <v>2688405</v>
      </c>
      <c r="AC29" s="1137"/>
      <c r="AD29" s="1347"/>
    </row>
    <row r="30" spans="1:30" s="293" customFormat="1" ht="14.25" customHeight="1">
      <c r="A30" s="1545"/>
      <c r="B30" s="1537" t="s">
        <v>1108</v>
      </c>
      <c r="C30" s="1538">
        <v>686000</v>
      </c>
      <c r="D30" s="1539">
        <v>540000</v>
      </c>
      <c r="E30" s="1540">
        <v>146000</v>
      </c>
      <c r="F30" s="1539">
        <v>686000</v>
      </c>
      <c r="G30" s="1539">
        <v>0</v>
      </c>
      <c r="H30" s="1539">
        <v>0</v>
      </c>
      <c r="I30" s="1348">
        <f t="shared" si="14"/>
        <v>686000</v>
      </c>
      <c r="J30" s="1348">
        <v>540000</v>
      </c>
      <c r="K30" s="1347">
        <v>146000</v>
      </c>
      <c r="L30" s="1137">
        <v>686000</v>
      </c>
      <c r="M30" s="1137">
        <v>0</v>
      </c>
      <c r="N30" s="1347">
        <v>0</v>
      </c>
      <c r="O30" s="1349">
        <f t="shared" si="15"/>
        <v>0</v>
      </c>
      <c r="P30" s="1252"/>
      <c r="Q30" s="1252"/>
      <c r="R30" s="1252"/>
      <c r="S30" s="1350">
        <f t="shared" si="16"/>
        <v>686000</v>
      </c>
      <c r="T30" s="451">
        <v>540000</v>
      </c>
      <c r="U30" s="660">
        <v>146000</v>
      </c>
      <c r="V30" s="451">
        <f>SUM(L30+P30)</f>
        <v>686000</v>
      </c>
      <c r="W30" s="451">
        <f t="shared" si="17"/>
        <v>0</v>
      </c>
      <c r="X30" s="660">
        <f t="shared" si="17"/>
        <v>0</v>
      </c>
      <c r="Y30" s="1352">
        <v>657210</v>
      </c>
      <c r="Z30" s="1137">
        <v>517489</v>
      </c>
      <c r="AA30" s="1347">
        <v>139721</v>
      </c>
      <c r="AB30" s="1137">
        <f t="shared" si="18"/>
        <v>657210</v>
      </c>
      <c r="AC30" s="1137"/>
      <c r="AD30" s="1347"/>
    </row>
    <row r="31" spans="1:30" s="293" customFormat="1" ht="14.25" customHeight="1">
      <c r="A31" s="1545"/>
      <c r="B31" s="1537" t="s">
        <v>1109</v>
      </c>
      <c r="C31" s="1538">
        <v>1905000</v>
      </c>
      <c r="D31" s="1539">
        <v>1500000</v>
      </c>
      <c r="E31" s="1540">
        <v>405000</v>
      </c>
      <c r="F31" s="1539">
        <v>1905000</v>
      </c>
      <c r="G31" s="1539">
        <v>0</v>
      </c>
      <c r="H31" s="1539">
        <v>0</v>
      </c>
      <c r="I31" s="1348">
        <f t="shared" si="14"/>
        <v>1905000</v>
      </c>
      <c r="J31" s="1348">
        <f>SUM(I31)/1.27</f>
        <v>1500000</v>
      </c>
      <c r="K31" s="1347">
        <f>SUM(J31)*0.27</f>
        <v>405000</v>
      </c>
      <c r="L31" s="1137">
        <v>1905000</v>
      </c>
      <c r="M31" s="1137">
        <v>0</v>
      </c>
      <c r="N31" s="1347">
        <v>0</v>
      </c>
      <c r="O31" s="1349">
        <f t="shared" si="15"/>
        <v>0</v>
      </c>
      <c r="P31" s="1252"/>
      <c r="Q31" s="1252"/>
      <c r="R31" s="1252"/>
      <c r="S31" s="1350">
        <f t="shared" si="16"/>
        <v>1905000</v>
      </c>
      <c r="T31" s="451">
        <f t="shared" ref="T31:T36" si="19">SUM(S31)/1.27</f>
        <v>1500000</v>
      </c>
      <c r="U31" s="660">
        <f t="shared" ref="U31:U36" si="20">SUM(T31)*0.27</f>
        <v>405000</v>
      </c>
      <c r="V31" s="451">
        <f>SUM(L31+P31)</f>
        <v>1905000</v>
      </c>
      <c r="W31" s="451">
        <f t="shared" si="17"/>
        <v>0</v>
      </c>
      <c r="X31" s="660">
        <f t="shared" si="17"/>
        <v>0</v>
      </c>
      <c r="Y31" s="1352">
        <v>72890</v>
      </c>
      <c r="Z31" s="1137">
        <v>57394</v>
      </c>
      <c r="AA31" s="1347">
        <v>15496</v>
      </c>
      <c r="AB31" s="1137">
        <f t="shared" si="18"/>
        <v>72890</v>
      </c>
      <c r="AC31" s="1137"/>
      <c r="AD31" s="1347"/>
    </row>
    <row r="32" spans="1:30" s="293" customFormat="1" ht="14.25" customHeight="1">
      <c r="A32" s="1545"/>
      <c r="B32" s="1537" t="s">
        <v>1110</v>
      </c>
      <c r="C32" s="1538">
        <v>508000</v>
      </c>
      <c r="D32" s="1539">
        <v>400000</v>
      </c>
      <c r="E32" s="1540">
        <v>108000</v>
      </c>
      <c r="F32" s="1539">
        <v>508000</v>
      </c>
      <c r="G32" s="1539">
        <v>0</v>
      </c>
      <c r="H32" s="1539">
        <v>0</v>
      </c>
      <c r="I32" s="1348">
        <f t="shared" si="14"/>
        <v>508000</v>
      </c>
      <c r="J32" s="1348">
        <f>SUM(I32)/1.27</f>
        <v>400000</v>
      </c>
      <c r="K32" s="1347">
        <f>SUM(J32)*0.27</f>
        <v>108000</v>
      </c>
      <c r="L32" s="1137">
        <v>508000</v>
      </c>
      <c r="M32" s="1137">
        <v>0</v>
      </c>
      <c r="N32" s="1347">
        <v>0</v>
      </c>
      <c r="O32" s="1349">
        <f t="shared" si="15"/>
        <v>0</v>
      </c>
      <c r="P32" s="1252"/>
      <c r="Q32" s="1252"/>
      <c r="R32" s="1252"/>
      <c r="S32" s="1350">
        <f t="shared" si="16"/>
        <v>508000</v>
      </c>
      <c r="T32" s="451">
        <f t="shared" si="19"/>
        <v>400000</v>
      </c>
      <c r="U32" s="660">
        <f t="shared" si="20"/>
        <v>108000</v>
      </c>
      <c r="V32" s="451">
        <f>SUM(L32+P32)</f>
        <v>508000</v>
      </c>
      <c r="W32" s="451">
        <f t="shared" si="17"/>
        <v>0</v>
      </c>
      <c r="X32" s="660">
        <f t="shared" si="17"/>
        <v>0</v>
      </c>
      <c r="Y32" s="1352">
        <v>508000</v>
      </c>
      <c r="Z32" s="1137">
        <v>400000</v>
      </c>
      <c r="AA32" s="1347">
        <v>108000</v>
      </c>
      <c r="AB32" s="1137">
        <f t="shared" si="18"/>
        <v>508000</v>
      </c>
      <c r="AC32" s="1137"/>
      <c r="AD32" s="1347"/>
    </row>
    <row r="33" spans="1:30" s="293" customFormat="1" ht="14.25" customHeight="1">
      <c r="A33" s="1545"/>
      <c r="B33" s="1537" t="s">
        <v>1111</v>
      </c>
      <c r="C33" s="1538">
        <v>0</v>
      </c>
      <c r="D33" s="1539">
        <v>0</v>
      </c>
      <c r="E33" s="1540">
        <v>0</v>
      </c>
      <c r="F33" s="1539">
        <v>0</v>
      </c>
      <c r="G33" s="1539">
        <v>0</v>
      </c>
      <c r="H33" s="1539"/>
      <c r="I33" s="1348">
        <f t="shared" si="14"/>
        <v>1686326</v>
      </c>
      <c r="J33" s="1348">
        <f>SUM(I33)/1.27</f>
        <v>1327816</v>
      </c>
      <c r="K33" s="1347">
        <f>SUM(J33)*0.27</f>
        <v>358510</v>
      </c>
      <c r="L33" s="1137">
        <v>1686326</v>
      </c>
      <c r="M33" s="1137">
        <v>0</v>
      </c>
      <c r="N33" s="1347"/>
      <c r="O33" s="1349">
        <f t="shared" si="15"/>
        <v>0</v>
      </c>
      <c r="P33" s="1252"/>
      <c r="Q33" s="1252"/>
      <c r="R33" s="1252"/>
      <c r="S33" s="1350">
        <f t="shared" si="16"/>
        <v>1686326</v>
      </c>
      <c r="T33" s="451">
        <f t="shared" si="19"/>
        <v>1327816</v>
      </c>
      <c r="U33" s="660">
        <f t="shared" si="20"/>
        <v>358510</v>
      </c>
      <c r="V33" s="451">
        <f>SUM(L33+P33)</f>
        <v>1686326</v>
      </c>
      <c r="W33" s="451">
        <f t="shared" si="17"/>
        <v>0</v>
      </c>
      <c r="X33" s="660">
        <f t="shared" si="17"/>
        <v>0</v>
      </c>
      <c r="Y33" s="1352">
        <v>1686326</v>
      </c>
      <c r="Z33" s="1137">
        <v>1327816</v>
      </c>
      <c r="AA33" s="1347">
        <v>358510</v>
      </c>
      <c r="AB33" s="1137">
        <f t="shared" si="18"/>
        <v>1686326</v>
      </c>
      <c r="AC33" s="1137"/>
      <c r="AD33" s="1347"/>
    </row>
    <row r="34" spans="1:30" s="293" customFormat="1" ht="14.25" customHeight="1">
      <c r="A34" s="1511"/>
      <c r="B34" s="1537" t="s">
        <v>1112</v>
      </c>
      <c r="C34" s="1538">
        <v>0</v>
      </c>
      <c r="D34" s="1539">
        <v>0</v>
      </c>
      <c r="E34" s="1540">
        <v>0</v>
      </c>
      <c r="F34" s="1539">
        <v>0</v>
      </c>
      <c r="G34" s="1539">
        <v>0</v>
      </c>
      <c r="H34" s="1539">
        <v>0</v>
      </c>
      <c r="I34" s="1348">
        <f t="shared" si="14"/>
        <v>11049000</v>
      </c>
      <c r="J34" s="1348">
        <f>SUM(I34)/1.27</f>
        <v>8700000</v>
      </c>
      <c r="K34" s="1347">
        <f>SUM(J34)*0.27</f>
        <v>2349000</v>
      </c>
      <c r="L34" s="1137">
        <v>11049000</v>
      </c>
      <c r="M34" s="1137">
        <v>0</v>
      </c>
      <c r="N34" s="1347">
        <v>0</v>
      </c>
      <c r="O34" s="1349">
        <f t="shared" si="15"/>
        <v>0</v>
      </c>
      <c r="P34" s="1252"/>
      <c r="Q34" s="1252"/>
      <c r="R34" s="1252"/>
      <c r="S34" s="1350">
        <f t="shared" si="16"/>
        <v>11049000</v>
      </c>
      <c r="T34" s="451">
        <f t="shared" si="19"/>
        <v>8700000</v>
      </c>
      <c r="U34" s="660">
        <f t="shared" si="20"/>
        <v>2349000</v>
      </c>
      <c r="V34" s="451">
        <f>SUM(L34+P34)</f>
        <v>11049000</v>
      </c>
      <c r="W34" s="451">
        <f t="shared" si="17"/>
        <v>0</v>
      </c>
      <c r="X34" s="660">
        <f t="shared" si="17"/>
        <v>0</v>
      </c>
      <c r="Y34" s="1352">
        <v>8900922</v>
      </c>
      <c r="Z34" s="1137">
        <v>7008600</v>
      </c>
      <c r="AA34" s="1347">
        <v>1892322</v>
      </c>
      <c r="AB34" s="1137">
        <f t="shared" si="18"/>
        <v>8900922</v>
      </c>
      <c r="AC34" s="1137"/>
      <c r="AD34" s="1347"/>
    </row>
    <row r="35" spans="1:30" s="293" customFormat="1" ht="14.25" customHeight="1">
      <c r="A35" s="1511"/>
      <c r="B35" s="1542" t="s">
        <v>1113</v>
      </c>
      <c r="C35" s="1538"/>
      <c r="D35" s="1539"/>
      <c r="E35" s="1540"/>
      <c r="F35" s="1539"/>
      <c r="G35" s="1539"/>
      <c r="H35" s="1539"/>
      <c r="I35" s="1348"/>
      <c r="J35" s="1348"/>
      <c r="K35" s="1347"/>
      <c r="L35" s="1137"/>
      <c r="M35" s="1137"/>
      <c r="N35" s="1347"/>
      <c r="O35" s="1349"/>
      <c r="P35" s="1252"/>
      <c r="Q35" s="1252"/>
      <c r="R35" s="1252"/>
      <c r="S35" s="1350">
        <f t="shared" si="16"/>
        <v>1524000</v>
      </c>
      <c r="T35" s="451">
        <f t="shared" si="19"/>
        <v>1200000</v>
      </c>
      <c r="U35" s="660">
        <f t="shared" si="20"/>
        <v>324000</v>
      </c>
      <c r="V35" s="451">
        <v>1524000</v>
      </c>
      <c r="W35" s="451"/>
      <c r="X35" s="660"/>
      <c r="Y35" s="1352">
        <v>1524000</v>
      </c>
      <c r="Z35" s="1137">
        <v>1200000</v>
      </c>
      <c r="AA35" s="1347">
        <v>324000</v>
      </c>
      <c r="AB35" s="1137">
        <f t="shared" si="18"/>
        <v>1524000</v>
      </c>
      <c r="AC35" s="1137"/>
      <c r="AD35" s="1347"/>
    </row>
    <row r="36" spans="1:30" s="293" customFormat="1" ht="14.25" customHeight="1">
      <c r="A36" s="1511"/>
      <c r="B36" s="1542" t="s">
        <v>1114</v>
      </c>
      <c r="C36" s="1538"/>
      <c r="D36" s="1539"/>
      <c r="E36" s="1540"/>
      <c r="F36" s="1539"/>
      <c r="G36" s="1539"/>
      <c r="H36" s="1539"/>
      <c r="I36" s="1348"/>
      <c r="J36" s="1348"/>
      <c r="K36" s="1347"/>
      <c r="L36" s="1137"/>
      <c r="M36" s="1137"/>
      <c r="N36" s="1347"/>
      <c r="O36" s="1349"/>
      <c r="P36" s="1252"/>
      <c r="Q36" s="1252"/>
      <c r="R36" s="1252"/>
      <c r="S36" s="1350">
        <f t="shared" si="16"/>
        <v>495300</v>
      </c>
      <c r="T36" s="451">
        <f t="shared" si="19"/>
        <v>390000</v>
      </c>
      <c r="U36" s="660">
        <f t="shared" si="20"/>
        <v>105300</v>
      </c>
      <c r="V36" s="451">
        <v>495300</v>
      </c>
      <c r="W36" s="451"/>
      <c r="X36" s="660"/>
      <c r="Y36" s="1352">
        <v>0</v>
      </c>
      <c r="Z36" s="1137">
        <v>0</v>
      </c>
      <c r="AA36" s="1347">
        <v>0</v>
      </c>
      <c r="AB36" s="1137">
        <f t="shared" si="18"/>
        <v>0</v>
      </c>
      <c r="AC36" s="1137"/>
      <c r="AD36" s="1347"/>
    </row>
    <row r="37" spans="1:30" s="293" customFormat="1" ht="4.5" customHeight="1">
      <c r="A37" s="1511"/>
      <c r="B37" s="1537"/>
      <c r="C37" s="1538"/>
      <c r="D37" s="1539"/>
      <c r="E37" s="1540"/>
      <c r="F37" s="1539"/>
      <c r="G37" s="1539"/>
      <c r="H37" s="1539"/>
      <c r="I37" s="1367"/>
      <c r="J37" s="1354"/>
      <c r="K37" s="1355"/>
      <c r="L37" s="304"/>
      <c r="M37" s="294"/>
      <c r="N37" s="1356"/>
      <c r="O37" s="1357"/>
      <c r="P37" s="1358"/>
      <c r="Q37" s="1359"/>
      <c r="R37" s="1359"/>
      <c r="S37" s="1350"/>
      <c r="T37" s="1531"/>
      <c r="U37" s="1362"/>
      <c r="V37" s="631"/>
      <c r="W37" s="1364"/>
      <c r="X37" s="1365"/>
      <c r="Y37" s="1366"/>
      <c r="Z37" s="315"/>
      <c r="AA37" s="1355"/>
      <c r="AB37" s="304"/>
      <c r="AC37" s="294"/>
      <c r="AD37" s="1356"/>
    </row>
    <row r="38" spans="1:30" s="293" customFormat="1" ht="14.25" customHeight="1">
      <c r="A38" s="1532" t="s">
        <v>228</v>
      </c>
      <c r="B38" s="1533"/>
      <c r="C38" s="1534">
        <f t="shared" ref="C38:R38" si="21">SUM(C39:C51)</f>
        <v>9720000</v>
      </c>
      <c r="D38" s="1535">
        <f t="shared" si="21"/>
        <v>7654000</v>
      </c>
      <c r="E38" s="1536">
        <f t="shared" si="21"/>
        <v>2066000</v>
      </c>
      <c r="F38" s="1535">
        <f t="shared" si="21"/>
        <v>9720000</v>
      </c>
      <c r="G38" s="1535">
        <f t="shared" si="21"/>
        <v>0</v>
      </c>
      <c r="H38" s="1535">
        <f t="shared" si="21"/>
        <v>0</v>
      </c>
      <c r="I38" s="1334">
        <f t="shared" si="21"/>
        <v>27203611</v>
      </c>
      <c r="J38" s="1334">
        <f t="shared" si="21"/>
        <v>21420623</v>
      </c>
      <c r="K38" s="1333">
        <f t="shared" si="21"/>
        <v>5782988</v>
      </c>
      <c r="L38" s="1335">
        <f t="shared" si="21"/>
        <v>27203611</v>
      </c>
      <c r="M38" s="1335">
        <f t="shared" si="21"/>
        <v>0</v>
      </c>
      <c r="N38" s="1333">
        <f t="shared" si="21"/>
        <v>0</v>
      </c>
      <c r="O38" s="1336">
        <f t="shared" si="21"/>
        <v>802506</v>
      </c>
      <c r="P38" s="1337">
        <f t="shared" si="21"/>
        <v>802506</v>
      </c>
      <c r="Q38" s="1337">
        <f t="shared" si="21"/>
        <v>0</v>
      </c>
      <c r="R38" s="1337">
        <f t="shared" si="21"/>
        <v>0</v>
      </c>
      <c r="S38" s="1338">
        <f>SUM(S39:S52)</f>
        <v>30448985</v>
      </c>
      <c r="T38" s="1341">
        <f t="shared" ref="T38:AD38" si="22">SUM(T39:T51)</f>
        <v>23976036</v>
      </c>
      <c r="U38" s="1340">
        <f t="shared" si="22"/>
        <v>6472949</v>
      </c>
      <c r="V38" s="1341">
        <f t="shared" si="22"/>
        <v>30448985</v>
      </c>
      <c r="W38" s="1341">
        <f t="shared" si="22"/>
        <v>0</v>
      </c>
      <c r="X38" s="1340">
        <f t="shared" si="22"/>
        <v>0</v>
      </c>
      <c r="Y38" s="1342">
        <f t="shared" si="22"/>
        <v>27784125</v>
      </c>
      <c r="Z38" s="1335">
        <f t="shared" si="22"/>
        <v>21877261</v>
      </c>
      <c r="AA38" s="1333">
        <f t="shared" si="22"/>
        <v>5906864</v>
      </c>
      <c r="AB38" s="1335">
        <f t="shared" si="22"/>
        <v>27784125</v>
      </c>
      <c r="AC38" s="1335">
        <f t="shared" si="22"/>
        <v>0</v>
      </c>
      <c r="AD38" s="1333">
        <f t="shared" si="22"/>
        <v>0</v>
      </c>
    </row>
    <row r="39" spans="1:30" s="293" customFormat="1" ht="15" customHeight="1">
      <c r="A39" s="1511"/>
      <c r="B39" s="1542" t="s">
        <v>1107</v>
      </c>
      <c r="C39" s="1538">
        <v>7390000</v>
      </c>
      <c r="D39" s="1539">
        <v>5819000</v>
      </c>
      <c r="E39" s="1540">
        <v>1571000</v>
      </c>
      <c r="F39" s="1539">
        <v>7390000</v>
      </c>
      <c r="G39" s="1539">
        <v>0</v>
      </c>
      <c r="H39" s="1539">
        <v>0</v>
      </c>
      <c r="I39" s="1348">
        <f t="shared" ref="I39:I46" si="23">SUM(L39:N39)</f>
        <v>7390000</v>
      </c>
      <c r="J39" s="1348">
        <v>5819000</v>
      </c>
      <c r="K39" s="1347">
        <v>1571000</v>
      </c>
      <c r="L39" s="1137">
        <v>7390000</v>
      </c>
      <c r="M39" s="1137">
        <v>0</v>
      </c>
      <c r="N39" s="1347">
        <v>0</v>
      </c>
      <c r="O39" s="1349">
        <f t="shared" ref="O39:O46" si="24">SUM(P39:R39)</f>
        <v>802506</v>
      </c>
      <c r="P39" s="1252">
        <v>802506</v>
      </c>
      <c r="Q39" s="1252"/>
      <c r="R39" s="1252"/>
      <c r="S39" s="1350">
        <f t="shared" ref="S39:S52" si="25">SUM(V39:X39)</f>
        <v>6590160</v>
      </c>
      <c r="T39" s="451">
        <v>5189205</v>
      </c>
      <c r="U39" s="660">
        <v>1400955</v>
      </c>
      <c r="V39" s="451">
        <v>6590160</v>
      </c>
      <c r="W39" s="451">
        <f t="shared" ref="W39:X46" si="26">SUM(M39+Q39)</f>
        <v>0</v>
      </c>
      <c r="X39" s="660">
        <f t="shared" si="26"/>
        <v>0</v>
      </c>
      <c r="Y39" s="1352">
        <v>5452417</v>
      </c>
      <c r="Z39" s="1137">
        <v>4293240</v>
      </c>
      <c r="AA39" s="1347">
        <v>1159177</v>
      </c>
      <c r="AB39" s="1137">
        <v>5452417</v>
      </c>
      <c r="AC39" s="1137"/>
      <c r="AD39" s="1347"/>
    </row>
    <row r="40" spans="1:30" s="293" customFormat="1" ht="15" customHeight="1">
      <c r="A40" s="1511"/>
      <c r="B40" s="1542" t="s">
        <v>1108</v>
      </c>
      <c r="C40" s="1538">
        <v>1124000</v>
      </c>
      <c r="D40" s="1539">
        <v>885000</v>
      </c>
      <c r="E40" s="1540">
        <v>239000</v>
      </c>
      <c r="F40" s="1539">
        <v>1124000</v>
      </c>
      <c r="G40" s="1539">
        <v>0</v>
      </c>
      <c r="H40" s="1539">
        <v>0</v>
      </c>
      <c r="I40" s="1348">
        <f t="shared" si="23"/>
        <v>1124000</v>
      </c>
      <c r="J40" s="1348">
        <v>885000</v>
      </c>
      <c r="K40" s="1347">
        <v>239000</v>
      </c>
      <c r="L40" s="1137">
        <v>1124000</v>
      </c>
      <c r="M40" s="1137">
        <v>0</v>
      </c>
      <c r="N40" s="1347">
        <v>0</v>
      </c>
      <c r="O40" s="1349">
        <f t="shared" si="24"/>
        <v>0</v>
      </c>
      <c r="P40" s="1252"/>
      <c r="Q40" s="1252"/>
      <c r="R40" s="1252"/>
      <c r="S40" s="1350">
        <f t="shared" si="25"/>
        <v>1560486</v>
      </c>
      <c r="T40" s="451">
        <v>1228690</v>
      </c>
      <c r="U40" s="660">
        <v>331796</v>
      </c>
      <c r="V40" s="451">
        <v>1560486</v>
      </c>
      <c r="W40" s="451">
        <f t="shared" si="26"/>
        <v>0</v>
      </c>
      <c r="X40" s="660">
        <f t="shared" si="26"/>
        <v>0</v>
      </c>
      <c r="Y40" s="1352">
        <v>604369</v>
      </c>
      <c r="Z40" s="1137">
        <v>475880</v>
      </c>
      <c r="AA40" s="1347">
        <v>128489</v>
      </c>
      <c r="AB40" s="1137">
        <v>604369</v>
      </c>
      <c r="AC40" s="1137"/>
      <c r="AD40" s="1347"/>
    </row>
    <row r="41" spans="1:30" s="293" customFormat="1" ht="15" customHeight="1">
      <c r="A41" s="1511"/>
      <c r="B41" s="1542" t="s">
        <v>1115</v>
      </c>
      <c r="C41" s="1538">
        <v>571000</v>
      </c>
      <c r="D41" s="1539">
        <v>450000</v>
      </c>
      <c r="E41" s="1540">
        <v>121000</v>
      </c>
      <c r="F41" s="1539">
        <v>571000</v>
      </c>
      <c r="G41" s="1539">
        <v>0</v>
      </c>
      <c r="H41" s="1539">
        <v>0</v>
      </c>
      <c r="I41" s="1348">
        <f t="shared" si="23"/>
        <v>571000</v>
      </c>
      <c r="J41" s="1348">
        <v>450000</v>
      </c>
      <c r="K41" s="1347">
        <v>121000</v>
      </c>
      <c r="L41" s="1137">
        <v>571000</v>
      </c>
      <c r="M41" s="1137">
        <v>0</v>
      </c>
      <c r="N41" s="1347">
        <v>0</v>
      </c>
      <c r="O41" s="1349">
        <f t="shared" si="24"/>
        <v>0</v>
      </c>
      <c r="P41" s="1252"/>
      <c r="Q41" s="1252"/>
      <c r="R41" s="1252"/>
      <c r="S41" s="1350">
        <f t="shared" si="25"/>
        <v>571000</v>
      </c>
      <c r="T41" s="451">
        <v>450000</v>
      </c>
      <c r="U41" s="660">
        <v>121000</v>
      </c>
      <c r="V41" s="451">
        <v>571000</v>
      </c>
      <c r="W41" s="451">
        <f t="shared" si="26"/>
        <v>0</v>
      </c>
      <c r="X41" s="660">
        <f t="shared" si="26"/>
        <v>0</v>
      </c>
      <c r="Y41" s="1352">
        <v>0</v>
      </c>
      <c r="Z41" s="1137">
        <v>0</v>
      </c>
      <c r="AA41" s="1347">
        <v>0</v>
      </c>
      <c r="AB41" s="1137">
        <v>0</v>
      </c>
      <c r="AC41" s="1137"/>
      <c r="AD41" s="1347"/>
    </row>
    <row r="42" spans="1:30" s="293" customFormat="1" ht="14.25" customHeight="1">
      <c r="A42" s="1511"/>
      <c r="B42" s="1542" t="s">
        <v>1116</v>
      </c>
      <c r="C42" s="1538">
        <v>635000</v>
      </c>
      <c r="D42" s="1539">
        <v>500000</v>
      </c>
      <c r="E42" s="1540">
        <v>135000</v>
      </c>
      <c r="F42" s="1539">
        <v>635000</v>
      </c>
      <c r="G42" s="1539">
        <v>0</v>
      </c>
      <c r="H42" s="1539">
        <v>0</v>
      </c>
      <c r="I42" s="1348">
        <f t="shared" si="23"/>
        <v>635000</v>
      </c>
      <c r="J42" s="1348">
        <f>SUM(I42)/1.27</f>
        <v>500000</v>
      </c>
      <c r="K42" s="1347">
        <f>SUM(J42)*0.27</f>
        <v>135000</v>
      </c>
      <c r="L42" s="1137">
        <v>635000</v>
      </c>
      <c r="M42" s="1137">
        <v>0</v>
      </c>
      <c r="N42" s="1347">
        <v>0</v>
      </c>
      <c r="O42" s="1349">
        <f t="shared" si="24"/>
        <v>0</v>
      </c>
      <c r="P42" s="1252"/>
      <c r="Q42" s="1252"/>
      <c r="R42" s="1252"/>
      <c r="S42" s="1350">
        <f t="shared" si="25"/>
        <v>0</v>
      </c>
      <c r="T42" s="451">
        <f t="shared" ref="T42:T51" si="27">SUM(S42)/1.27</f>
        <v>0</v>
      </c>
      <c r="U42" s="660">
        <f t="shared" ref="U42:U52" si="28">(T42)*0.27</f>
        <v>0</v>
      </c>
      <c r="V42" s="451">
        <v>0</v>
      </c>
      <c r="W42" s="451">
        <f t="shared" si="26"/>
        <v>0</v>
      </c>
      <c r="X42" s="660">
        <f t="shared" si="26"/>
        <v>0</v>
      </c>
      <c r="Y42" s="1352">
        <v>0</v>
      </c>
      <c r="Z42" s="1137">
        <v>0</v>
      </c>
      <c r="AA42" s="1347">
        <v>0</v>
      </c>
      <c r="AB42" s="1137">
        <v>0</v>
      </c>
      <c r="AC42" s="1137"/>
      <c r="AD42" s="1347"/>
    </row>
    <row r="43" spans="1:30" s="293" customFormat="1" ht="14.25" customHeight="1">
      <c r="A43" s="1511"/>
      <c r="B43" s="1542" t="s">
        <v>1117</v>
      </c>
      <c r="C43" s="1538">
        <v>0</v>
      </c>
      <c r="D43" s="1539">
        <v>0</v>
      </c>
      <c r="E43" s="1540">
        <v>0</v>
      </c>
      <c r="F43" s="1539"/>
      <c r="G43" s="1539"/>
      <c r="H43" s="1539"/>
      <c r="I43" s="1348">
        <f t="shared" si="23"/>
        <v>159990</v>
      </c>
      <c r="J43" s="1348">
        <f>SUM(I43)/1.27</f>
        <v>125976</v>
      </c>
      <c r="K43" s="1347">
        <f>SUM(J43)*0.27</f>
        <v>34014</v>
      </c>
      <c r="L43" s="1137">
        <v>159990</v>
      </c>
      <c r="M43" s="1137">
        <v>0</v>
      </c>
      <c r="N43" s="1347">
        <v>0</v>
      </c>
      <c r="O43" s="1349">
        <f t="shared" si="24"/>
        <v>0</v>
      </c>
      <c r="P43" s="1252"/>
      <c r="Q43" s="1252"/>
      <c r="R43" s="1252"/>
      <c r="S43" s="1350">
        <f t="shared" si="25"/>
        <v>159990</v>
      </c>
      <c r="T43" s="451">
        <f t="shared" si="27"/>
        <v>125976</v>
      </c>
      <c r="U43" s="660">
        <f t="shared" si="28"/>
        <v>34014</v>
      </c>
      <c r="V43" s="451">
        <f>SUM(L43+P43)</f>
        <v>159990</v>
      </c>
      <c r="W43" s="451">
        <f t="shared" si="26"/>
        <v>0</v>
      </c>
      <c r="X43" s="660">
        <f t="shared" si="26"/>
        <v>0</v>
      </c>
      <c r="Y43" s="1352">
        <v>159990</v>
      </c>
      <c r="Z43" s="1137">
        <v>125976</v>
      </c>
      <c r="AA43" s="1347">
        <v>34014</v>
      </c>
      <c r="AB43" s="1137">
        <v>159990</v>
      </c>
      <c r="AC43" s="1137"/>
      <c r="AD43" s="1347"/>
    </row>
    <row r="44" spans="1:30" s="293" customFormat="1" ht="15" customHeight="1">
      <c r="A44" s="1511"/>
      <c r="B44" s="1542" t="s">
        <v>1118</v>
      </c>
      <c r="C44" s="1538">
        <v>0</v>
      </c>
      <c r="D44" s="1539">
        <v>0</v>
      </c>
      <c r="E44" s="1540">
        <v>0</v>
      </c>
      <c r="F44" s="1539">
        <v>0</v>
      </c>
      <c r="G44" s="1539">
        <v>0</v>
      </c>
      <c r="H44" s="1539">
        <v>0</v>
      </c>
      <c r="I44" s="1348">
        <f t="shared" si="23"/>
        <v>53213</v>
      </c>
      <c r="J44" s="1348">
        <f>SUM(I44)/1.27</f>
        <v>41900</v>
      </c>
      <c r="K44" s="1347">
        <f>SUM(J44)*0.27</f>
        <v>11313</v>
      </c>
      <c r="L44" s="1137">
        <v>53213</v>
      </c>
      <c r="M44" s="1137">
        <v>0</v>
      </c>
      <c r="N44" s="1347">
        <v>0</v>
      </c>
      <c r="O44" s="1349">
        <f t="shared" si="24"/>
        <v>0</v>
      </c>
      <c r="P44" s="1252"/>
      <c r="Q44" s="1252"/>
      <c r="R44" s="1252"/>
      <c r="S44" s="1350">
        <f t="shared" si="25"/>
        <v>53213</v>
      </c>
      <c r="T44" s="451">
        <f t="shared" si="27"/>
        <v>41900</v>
      </c>
      <c r="U44" s="660">
        <f t="shared" si="28"/>
        <v>11313</v>
      </c>
      <c r="V44" s="451">
        <f>SUM(L44+P44)</f>
        <v>53213</v>
      </c>
      <c r="W44" s="451">
        <f t="shared" si="26"/>
        <v>0</v>
      </c>
      <c r="X44" s="660">
        <f t="shared" si="26"/>
        <v>0</v>
      </c>
      <c r="Y44" s="1352">
        <v>53213</v>
      </c>
      <c r="Z44" s="1137">
        <v>41900</v>
      </c>
      <c r="AA44" s="1347">
        <v>11313</v>
      </c>
      <c r="AB44" s="1137">
        <v>53213</v>
      </c>
      <c r="AC44" s="1137"/>
      <c r="AD44" s="1347"/>
    </row>
    <row r="45" spans="1:30" s="293" customFormat="1" ht="15" customHeight="1">
      <c r="A45" s="1511"/>
      <c r="B45" s="1542" t="s">
        <v>1119</v>
      </c>
      <c r="C45" s="1538">
        <v>0</v>
      </c>
      <c r="D45" s="1539">
        <v>0</v>
      </c>
      <c r="E45" s="1540">
        <v>0</v>
      </c>
      <c r="F45" s="1539">
        <v>0</v>
      </c>
      <c r="G45" s="1539">
        <v>0</v>
      </c>
      <c r="H45" s="1539">
        <v>0</v>
      </c>
      <c r="I45" s="1348">
        <f t="shared" si="23"/>
        <v>14992408</v>
      </c>
      <c r="J45" s="1348">
        <f>SUM(I45)/1.27</f>
        <v>11805046</v>
      </c>
      <c r="K45" s="1347">
        <f>SUM(J45)*0.27</f>
        <v>3187362</v>
      </c>
      <c r="L45" s="1137">
        <v>14992408</v>
      </c>
      <c r="M45" s="1137">
        <v>0</v>
      </c>
      <c r="N45" s="1347">
        <v>0</v>
      </c>
      <c r="O45" s="1349">
        <f t="shared" si="24"/>
        <v>0</v>
      </c>
      <c r="P45" s="1252"/>
      <c r="Q45" s="1252"/>
      <c r="R45" s="1252"/>
      <c r="S45" s="1350">
        <f t="shared" si="25"/>
        <v>14992408</v>
      </c>
      <c r="T45" s="451">
        <f t="shared" si="27"/>
        <v>11805046</v>
      </c>
      <c r="U45" s="660">
        <f t="shared" si="28"/>
        <v>3187362</v>
      </c>
      <c r="V45" s="451">
        <v>14992408</v>
      </c>
      <c r="W45" s="451">
        <f t="shared" si="26"/>
        <v>0</v>
      </c>
      <c r="X45" s="660">
        <f t="shared" si="26"/>
        <v>0</v>
      </c>
      <c r="Y45" s="1352">
        <v>14992408</v>
      </c>
      <c r="Z45" s="1137">
        <v>11805046</v>
      </c>
      <c r="AA45" s="1347">
        <v>3187362</v>
      </c>
      <c r="AB45" s="1137">
        <v>14992408</v>
      </c>
      <c r="AC45" s="1137"/>
      <c r="AD45" s="1347"/>
    </row>
    <row r="46" spans="1:30" s="293" customFormat="1" ht="15" customHeight="1">
      <c r="A46" s="1511"/>
      <c r="B46" s="1542" t="s">
        <v>1120</v>
      </c>
      <c r="C46" s="1538">
        <v>0</v>
      </c>
      <c r="D46" s="1539">
        <v>0</v>
      </c>
      <c r="E46" s="1540">
        <v>0</v>
      </c>
      <c r="F46" s="1539">
        <v>0</v>
      </c>
      <c r="G46" s="1539">
        <v>0</v>
      </c>
      <c r="H46" s="1539">
        <v>0</v>
      </c>
      <c r="I46" s="1348">
        <f t="shared" si="23"/>
        <v>278000</v>
      </c>
      <c r="J46" s="1348">
        <f>SUM(I46)/1.27</f>
        <v>218898</v>
      </c>
      <c r="K46" s="1347">
        <f>SUM(J46)*0.27</f>
        <v>59102</v>
      </c>
      <c r="L46" s="1137">
        <v>278000</v>
      </c>
      <c r="M46" s="1137">
        <v>0</v>
      </c>
      <c r="N46" s="1347">
        <v>0</v>
      </c>
      <c r="O46" s="1349">
        <f t="shared" si="24"/>
        <v>0</v>
      </c>
      <c r="P46" s="1252"/>
      <c r="Q46" s="1252"/>
      <c r="R46" s="1252"/>
      <c r="S46" s="1350">
        <f t="shared" si="25"/>
        <v>278000</v>
      </c>
      <c r="T46" s="451">
        <f t="shared" si="27"/>
        <v>218898</v>
      </c>
      <c r="U46" s="660">
        <f t="shared" si="28"/>
        <v>59102</v>
      </c>
      <c r="V46" s="451">
        <v>278000</v>
      </c>
      <c r="W46" s="451">
        <f t="shared" si="26"/>
        <v>0</v>
      </c>
      <c r="X46" s="660">
        <f t="shared" si="26"/>
        <v>0</v>
      </c>
      <c r="Y46" s="1352">
        <v>278000</v>
      </c>
      <c r="Z46" s="1137">
        <v>218898</v>
      </c>
      <c r="AA46" s="1347">
        <v>59102</v>
      </c>
      <c r="AB46" s="1137">
        <v>278000</v>
      </c>
      <c r="AC46" s="1137"/>
      <c r="AD46" s="1347"/>
    </row>
    <row r="47" spans="1:30" s="293" customFormat="1" ht="15" customHeight="1">
      <c r="A47" s="1511"/>
      <c r="B47" s="1542" t="s">
        <v>1121</v>
      </c>
      <c r="C47" s="1538"/>
      <c r="D47" s="1539"/>
      <c r="E47" s="1540"/>
      <c r="F47" s="1539"/>
      <c r="G47" s="1539"/>
      <c r="H47" s="1539"/>
      <c r="I47" s="1348"/>
      <c r="J47" s="1348"/>
      <c r="K47" s="1347"/>
      <c r="L47" s="1137"/>
      <c r="M47" s="1137"/>
      <c r="N47" s="1347"/>
      <c r="O47" s="1349"/>
      <c r="P47" s="1252"/>
      <c r="Q47" s="1252"/>
      <c r="R47" s="1252"/>
      <c r="S47" s="1350">
        <f t="shared" si="25"/>
        <v>2000000</v>
      </c>
      <c r="T47" s="451">
        <f t="shared" si="27"/>
        <v>1574803</v>
      </c>
      <c r="U47" s="660">
        <f t="shared" si="28"/>
        <v>425197</v>
      </c>
      <c r="V47" s="451">
        <v>2000000</v>
      </c>
      <c r="W47" s="451"/>
      <c r="X47" s="660"/>
      <c r="Y47" s="1352">
        <v>2000000</v>
      </c>
      <c r="Z47" s="1137">
        <v>1574803</v>
      </c>
      <c r="AA47" s="1347">
        <v>425197</v>
      </c>
      <c r="AB47" s="1137">
        <v>2000000</v>
      </c>
      <c r="AC47" s="1137"/>
      <c r="AD47" s="1347"/>
    </row>
    <row r="48" spans="1:30" s="293" customFormat="1" ht="15" customHeight="1">
      <c r="A48" s="1511"/>
      <c r="B48" s="1537" t="s">
        <v>1122</v>
      </c>
      <c r="C48" s="1538"/>
      <c r="D48" s="1539"/>
      <c r="E48" s="1540"/>
      <c r="F48" s="1539"/>
      <c r="G48" s="1539"/>
      <c r="H48" s="1539"/>
      <c r="I48" s="1348"/>
      <c r="J48" s="1348"/>
      <c r="K48" s="1347"/>
      <c r="L48" s="1137"/>
      <c r="M48" s="1137"/>
      <c r="N48" s="1347"/>
      <c r="O48" s="1349"/>
      <c r="P48" s="1252"/>
      <c r="Q48" s="1252"/>
      <c r="R48" s="1252"/>
      <c r="S48" s="1350">
        <f t="shared" si="25"/>
        <v>889000</v>
      </c>
      <c r="T48" s="451">
        <f t="shared" si="27"/>
        <v>700000</v>
      </c>
      <c r="U48" s="660">
        <f t="shared" si="28"/>
        <v>189000</v>
      </c>
      <c r="V48" s="451">
        <v>889000</v>
      </c>
      <c r="W48" s="451"/>
      <c r="X48" s="660"/>
      <c r="Y48" s="1352">
        <v>889000</v>
      </c>
      <c r="Z48" s="1137">
        <v>700000</v>
      </c>
      <c r="AA48" s="1347">
        <v>189000</v>
      </c>
      <c r="AB48" s="1137">
        <v>889000</v>
      </c>
      <c r="AC48" s="1137"/>
      <c r="AD48" s="1347"/>
    </row>
    <row r="49" spans="1:30" s="293" customFormat="1" ht="15" customHeight="1">
      <c r="A49" s="1511"/>
      <c r="B49" s="1537" t="s">
        <v>1123</v>
      </c>
      <c r="C49" s="1538"/>
      <c r="D49" s="1539"/>
      <c r="E49" s="1540"/>
      <c r="F49" s="1539"/>
      <c r="G49" s="1539"/>
      <c r="H49" s="1539"/>
      <c r="I49" s="1348"/>
      <c r="J49" s="1348"/>
      <c r="K49" s="1347"/>
      <c r="L49" s="1137"/>
      <c r="M49" s="1137"/>
      <c r="N49" s="1347"/>
      <c r="O49" s="1349"/>
      <c r="P49" s="1252"/>
      <c r="Q49" s="1252"/>
      <c r="R49" s="1252"/>
      <c r="S49" s="1350">
        <f t="shared" si="25"/>
        <v>2188868</v>
      </c>
      <c r="T49" s="451">
        <f t="shared" si="27"/>
        <v>1723518</v>
      </c>
      <c r="U49" s="660">
        <f t="shared" si="28"/>
        <v>465350</v>
      </c>
      <c r="V49" s="451">
        <v>2188868</v>
      </c>
      <c r="W49" s="451"/>
      <c r="X49" s="660"/>
      <c r="Y49" s="1352">
        <v>2188868</v>
      </c>
      <c r="Z49" s="1137">
        <v>1723518</v>
      </c>
      <c r="AA49" s="1347">
        <v>465350</v>
      </c>
      <c r="AB49" s="1137">
        <v>2188868</v>
      </c>
      <c r="AC49" s="1137"/>
      <c r="AD49" s="1347"/>
    </row>
    <row r="50" spans="1:30" s="293" customFormat="1" ht="13.5" customHeight="1">
      <c r="A50" s="1511"/>
      <c r="B50" s="1537" t="s">
        <v>1124</v>
      </c>
      <c r="C50" s="1538">
        <v>0</v>
      </c>
      <c r="D50" s="1539">
        <v>0</v>
      </c>
      <c r="E50" s="1540">
        <v>0</v>
      </c>
      <c r="F50" s="1539">
        <v>0</v>
      </c>
      <c r="G50" s="1539">
        <v>0</v>
      </c>
      <c r="H50" s="1539">
        <v>0</v>
      </c>
      <c r="I50" s="1348">
        <f>SUM(L50:N50)</f>
        <v>2000000</v>
      </c>
      <c r="J50" s="1348">
        <f>SUM(I50)/1.27</f>
        <v>1574803</v>
      </c>
      <c r="K50" s="1347">
        <f>SUM(J50)*0.27</f>
        <v>425197</v>
      </c>
      <c r="L50" s="1137">
        <v>2000000</v>
      </c>
      <c r="M50" s="1137">
        <v>0</v>
      </c>
      <c r="N50" s="1347">
        <v>0</v>
      </c>
      <c r="O50" s="1349">
        <f>SUM(P50:R50)</f>
        <v>0</v>
      </c>
      <c r="P50" s="1252"/>
      <c r="Q50" s="1252"/>
      <c r="R50" s="1252"/>
      <c r="S50" s="1350">
        <f t="shared" si="25"/>
        <v>280670</v>
      </c>
      <c r="T50" s="451">
        <f t="shared" si="27"/>
        <v>221000</v>
      </c>
      <c r="U50" s="660">
        <f t="shared" si="28"/>
        <v>59670</v>
      </c>
      <c r="V50" s="451">
        <v>280670</v>
      </c>
      <c r="W50" s="451">
        <f>SUM(M50+Q50)</f>
        <v>0</v>
      </c>
      <c r="X50" s="660">
        <f>SUM(N50+R50)</f>
        <v>0</v>
      </c>
      <c r="Y50" s="1352">
        <v>280670</v>
      </c>
      <c r="Z50" s="1137">
        <v>221000</v>
      </c>
      <c r="AA50" s="1347">
        <v>59670</v>
      </c>
      <c r="AB50" s="1137">
        <v>280670</v>
      </c>
      <c r="AC50" s="1137"/>
      <c r="AD50" s="1347"/>
    </row>
    <row r="51" spans="1:30" s="293" customFormat="1" ht="13.5" customHeight="1">
      <c r="A51" s="1511"/>
      <c r="B51" s="1537" t="s">
        <v>1125</v>
      </c>
      <c r="C51" s="1538"/>
      <c r="D51" s="1539"/>
      <c r="E51" s="1540"/>
      <c r="F51" s="1539"/>
      <c r="G51" s="1539"/>
      <c r="H51" s="1539"/>
      <c r="I51" s="1348">
        <f>SUM(L51:N51)</f>
        <v>0</v>
      </c>
      <c r="J51" s="1348">
        <f>SUM(I51)/1.27</f>
        <v>0</v>
      </c>
      <c r="K51" s="1347">
        <f>SUM(J51)*0.27</f>
        <v>0</v>
      </c>
      <c r="L51" s="1137"/>
      <c r="M51" s="1137"/>
      <c r="N51" s="1347"/>
      <c r="O51" s="1349">
        <f>SUM(P51:R51)</f>
        <v>0</v>
      </c>
      <c r="P51" s="1252"/>
      <c r="Q51" s="1252"/>
      <c r="R51" s="1252"/>
      <c r="S51" s="1350">
        <f t="shared" si="25"/>
        <v>885190</v>
      </c>
      <c r="T51" s="451">
        <f t="shared" si="27"/>
        <v>697000</v>
      </c>
      <c r="U51" s="660">
        <f t="shared" si="28"/>
        <v>188190</v>
      </c>
      <c r="V51" s="451">
        <v>885190</v>
      </c>
      <c r="W51" s="451">
        <f>SUM(M51+Q51)</f>
        <v>0</v>
      </c>
      <c r="X51" s="660">
        <f>SUM(N51+R51)</f>
        <v>0</v>
      </c>
      <c r="Y51" s="1352">
        <v>885190</v>
      </c>
      <c r="Z51" s="1137">
        <v>697000</v>
      </c>
      <c r="AA51" s="1347">
        <v>188190</v>
      </c>
      <c r="AB51" s="1137">
        <v>885190</v>
      </c>
      <c r="AC51" s="1137"/>
      <c r="AD51" s="1347"/>
    </row>
    <row r="52" spans="1:30" s="293" customFormat="1" ht="9" customHeight="1">
      <c r="A52" s="1511"/>
      <c r="B52" s="1537"/>
      <c r="C52" s="1538"/>
      <c r="D52" s="1539"/>
      <c r="E52" s="1540"/>
      <c r="F52" s="1539"/>
      <c r="G52" s="1539"/>
      <c r="H52" s="1539"/>
      <c r="I52" s="1348"/>
      <c r="J52" s="1348"/>
      <c r="K52" s="1347"/>
      <c r="L52" s="1137"/>
      <c r="M52" s="1137"/>
      <c r="N52" s="1347"/>
      <c r="O52" s="1546"/>
      <c r="P52" s="1405"/>
      <c r="Q52" s="1405"/>
      <c r="R52" s="1405"/>
      <c r="S52" s="1350">
        <f t="shared" si="25"/>
        <v>0</v>
      </c>
      <c r="T52" s="451"/>
      <c r="U52" s="660">
        <f t="shared" si="28"/>
        <v>0</v>
      </c>
      <c r="V52" s="451"/>
      <c r="W52" s="451"/>
      <c r="X52" s="660"/>
      <c r="Y52" s="1352"/>
      <c r="Z52" s="1137"/>
      <c r="AA52" s="1347"/>
      <c r="AB52" s="1137"/>
      <c r="AC52" s="1137"/>
      <c r="AD52" s="1347"/>
    </row>
    <row r="53" spans="1:30" s="293" customFormat="1" ht="17.25" customHeight="1">
      <c r="A53" s="1532" t="s">
        <v>1126</v>
      </c>
      <c r="B53" s="1533"/>
      <c r="C53" s="1534">
        <f t="shared" ref="C53:R53" si="29">SUM(C54:C85)</f>
        <v>13056000</v>
      </c>
      <c r="D53" s="1535">
        <f t="shared" si="29"/>
        <v>10280000</v>
      </c>
      <c r="E53" s="1536">
        <f t="shared" si="29"/>
        <v>2776000</v>
      </c>
      <c r="F53" s="1535">
        <f t="shared" si="29"/>
        <v>13056000</v>
      </c>
      <c r="G53" s="1535">
        <f t="shared" si="29"/>
        <v>0</v>
      </c>
      <c r="H53" s="1535">
        <f t="shared" si="29"/>
        <v>0</v>
      </c>
      <c r="I53" s="1334">
        <f t="shared" si="29"/>
        <v>29787000</v>
      </c>
      <c r="J53" s="1334">
        <f t="shared" si="29"/>
        <v>23741024</v>
      </c>
      <c r="K53" s="1333">
        <f t="shared" si="29"/>
        <v>6045976</v>
      </c>
      <c r="L53" s="1335">
        <f t="shared" si="29"/>
        <v>28587000</v>
      </c>
      <c r="M53" s="1335">
        <f t="shared" si="29"/>
        <v>1200000</v>
      </c>
      <c r="N53" s="1333">
        <f t="shared" si="29"/>
        <v>0</v>
      </c>
      <c r="O53" s="1336">
        <f t="shared" si="29"/>
        <v>0</v>
      </c>
      <c r="P53" s="1337">
        <f t="shared" si="29"/>
        <v>0</v>
      </c>
      <c r="Q53" s="1547">
        <f t="shared" si="29"/>
        <v>0</v>
      </c>
      <c r="R53" s="1337">
        <f t="shared" si="29"/>
        <v>0</v>
      </c>
      <c r="S53" s="1338">
        <f t="shared" ref="S53:AC53" si="30">SUM(S54:S89)</f>
        <v>33804000</v>
      </c>
      <c r="T53" s="1341">
        <f t="shared" si="30"/>
        <v>26904017</v>
      </c>
      <c r="U53" s="1340">
        <f t="shared" si="30"/>
        <v>6899983</v>
      </c>
      <c r="V53" s="1341">
        <f t="shared" si="30"/>
        <v>29087000</v>
      </c>
      <c r="W53" s="1548">
        <f t="shared" si="30"/>
        <v>1200000</v>
      </c>
      <c r="X53" s="1340">
        <f t="shared" si="30"/>
        <v>3517000</v>
      </c>
      <c r="Y53" s="1342">
        <f t="shared" si="30"/>
        <v>28582978</v>
      </c>
      <c r="Z53" s="1335">
        <f t="shared" si="30"/>
        <v>23126633</v>
      </c>
      <c r="AA53" s="1333">
        <f t="shared" si="30"/>
        <v>5456345</v>
      </c>
      <c r="AB53" s="1334">
        <f t="shared" si="30"/>
        <v>28582978</v>
      </c>
      <c r="AC53" s="1335">
        <f t="shared" si="30"/>
        <v>0</v>
      </c>
      <c r="AD53" s="1333">
        <f>SUM(AD54:AD85)</f>
        <v>0</v>
      </c>
    </row>
    <row r="54" spans="1:30" s="293" customFormat="1" ht="28.5" customHeight="1">
      <c r="A54" s="1549"/>
      <c r="B54" s="1537" t="s">
        <v>1127</v>
      </c>
      <c r="C54" s="1538">
        <v>5563000</v>
      </c>
      <c r="D54" s="1539">
        <v>4380000</v>
      </c>
      <c r="E54" s="1540">
        <v>1183000</v>
      </c>
      <c r="F54" s="1539">
        <v>5563000</v>
      </c>
      <c r="G54" s="1539"/>
      <c r="H54" s="1539">
        <v>0</v>
      </c>
      <c r="I54" s="1348">
        <f t="shared" ref="I54:I85" si="31">SUM(L54:N54)</f>
        <v>5563000</v>
      </c>
      <c r="J54" s="1348">
        <v>4380000</v>
      </c>
      <c r="K54" s="1347">
        <v>1183000</v>
      </c>
      <c r="L54" s="1137">
        <v>5563000</v>
      </c>
      <c r="M54" s="1137"/>
      <c r="N54" s="1347"/>
      <c r="O54" s="1349">
        <f t="shared" ref="O54:O85" si="32">SUM(P54:R54)</f>
        <v>0</v>
      </c>
      <c r="P54" s="1252"/>
      <c r="Q54" s="1252"/>
      <c r="R54" s="1252"/>
      <c r="S54" s="1350">
        <f t="shared" ref="S54:S89" si="33">SUM(V54:X54)</f>
        <v>5563000</v>
      </c>
      <c r="T54" s="451">
        <v>4380000</v>
      </c>
      <c r="U54" s="660">
        <v>1183000</v>
      </c>
      <c r="V54" s="451">
        <f t="shared" ref="V54:V85" si="34">SUM(L54+P54)</f>
        <v>5563000</v>
      </c>
      <c r="W54" s="451">
        <f t="shared" ref="W54:W85" si="35">SUM(M54+Q54)</f>
        <v>0</v>
      </c>
      <c r="X54" s="660">
        <f t="shared" ref="X54:X85" si="36">SUM(N54+R54)</f>
        <v>0</v>
      </c>
      <c r="Y54" s="1696">
        <f>+Z54+AA54</f>
        <v>5220818</v>
      </c>
      <c r="Z54" s="1679">
        <v>4471990</v>
      </c>
      <c r="AA54" s="1680">
        <v>748828</v>
      </c>
      <c r="AB54" s="451">
        <v>5220818</v>
      </c>
      <c r="AC54" s="1137"/>
      <c r="AD54" s="1550"/>
    </row>
    <row r="55" spans="1:30" s="293" customFormat="1" ht="15" customHeight="1">
      <c r="A55" s="1549"/>
      <c r="B55" s="1537" t="s">
        <v>1128</v>
      </c>
      <c r="C55" s="1538">
        <v>7493000</v>
      </c>
      <c r="D55" s="1539">
        <v>5900000</v>
      </c>
      <c r="E55" s="1540">
        <v>1593000</v>
      </c>
      <c r="F55" s="1539">
        <v>7493000</v>
      </c>
      <c r="G55" s="1539"/>
      <c r="H55" s="1539">
        <v>0</v>
      </c>
      <c r="I55" s="1348">
        <f t="shared" si="31"/>
        <v>7493000</v>
      </c>
      <c r="J55" s="1348">
        <f>SUM(I55)/1.27</f>
        <v>5900000</v>
      </c>
      <c r="K55" s="1347">
        <f>SUM(J55)*0.27</f>
        <v>1593000</v>
      </c>
      <c r="L55" s="1137">
        <v>7493000</v>
      </c>
      <c r="M55" s="1137"/>
      <c r="N55" s="1347"/>
      <c r="O55" s="1349">
        <f t="shared" si="32"/>
        <v>0</v>
      </c>
      <c r="P55" s="1252"/>
      <c r="Q55" s="1252"/>
      <c r="R55" s="1252"/>
      <c r="S55" s="1350">
        <f t="shared" si="33"/>
        <v>7493000</v>
      </c>
      <c r="T55" s="451">
        <f>SUM(S55)/1.27</f>
        <v>5900000</v>
      </c>
      <c r="U55" s="660">
        <f>SUM(T55)*0.27</f>
        <v>1593000</v>
      </c>
      <c r="V55" s="451">
        <f t="shared" si="34"/>
        <v>7493000</v>
      </c>
      <c r="W55" s="451">
        <f t="shared" si="35"/>
        <v>0</v>
      </c>
      <c r="X55" s="660">
        <f t="shared" si="36"/>
        <v>0</v>
      </c>
      <c r="Y55" s="1696">
        <f t="shared" ref="Y55:Y87" si="37">+Z55+AA55</f>
        <v>7493000</v>
      </c>
      <c r="Z55" s="1679">
        <v>5900000</v>
      </c>
      <c r="AA55" s="1680">
        <f t="shared" ref="AA55:AA83" si="38">Z55*27%</f>
        <v>1593000</v>
      </c>
      <c r="AB55" s="451">
        <v>7493000</v>
      </c>
      <c r="AC55" s="1137"/>
      <c r="AD55" s="1550"/>
    </row>
    <row r="56" spans="1:30" s="293" customFormat="1" ht="15" customHeight="1">
      <c r="A56" s="1549"/>
      <c r="B56" s="1537" t="s">
        <v>1129</v>
      </c>
      <c r="C56" s="1538">
        <v>0</v>
      </c>
      <c r="D56" s="1539">
        <v>0</v>
      </c>
      <c r="E56" s="1540">
        <v>0</v>
      </c>
      <c r="F56" s="1539"/>
      <c r="G56" s="1539"/>
      <c r="H56" s="1539">
        <v>0</v>
      </c>
      <c r="I56" s="1348">
        <f t="shared" si="31"/>
        <v>1200000</v>
      </c>
      <c r="J56" s="1348">
        <f>SUM(I56)/1</f>
        <v>1200000</v>
      </c>
      <c r="K56" s="1347">
        <f>SUM(J56)*0</f>
        <v>0</v>
      </c>
      <c r="L56" s="1137"/>
      <c r="M56" s="1137">
        <v>1200000</v>
      </c>
      <c r="N56" s="1347"/>
      <c r="O56" s="1349">
        <f t="shared" si="32"/>
        <v>0</v>
      </c>
      <c r="P56" s="1252"/>
      <c r="Q56" s="1252"/>
      <c r="R56" s="1252"/>
      <c r="S56" s="1350">
        <f t="shared" si="33"/>
        <v>1200000</v>
      </c>
      <c r="T56" s="451">
        <f>SUM(S56)/1</f>
        <v>1200000</v>
      </c>
      <c r="U56" s="660">
        <f>SUM(T56)*0</f>
        <v>0</v>
      </c>
      <c r="V56" s="451">
        <f t="shared" si="34"/>
        <v>0</v>
      </c>
      <c r="W56" s="1551">
        <f t="shared" si="35"/>
        <v>1200000</v>
      </c>
      <c r="X56" s="660">
        <f t="shared" si="36"/>
        <v>0</v>
      </c>
      <c r="Y56" s="1696">
        <f t="shared" si="37"/>
        <v>1200000</v>
      </c>
      <c r="Z56" s="1679">
        <v>1200000</v>
      </c>
      <c r="AA56" s="1680">
        <v>0</v>
      </c>
      <c r="AB56" s="451">
        <v>1200000</v>
      </c>
      <c r="AC56" s="1137"/>
      <c r="AD56" s="1550"/>
    </row>
    <row r="57" spans="1:30" s="293" customFormat="1" ht="15" customHeight="1">
      <c r="A57" s="1549"/>
      <c r="B57" s="1537" t="s">
        <v>1130</v>
      </c>
      <c r="C57" s="1538">
        <v>0</v>
      </c>
      <c r="D57" s="1539">
        <v>0</v>
      </c>
      <c r="E57" s="1540">
        <v>0</v>
      </c>
      <c r="F57" s="1539"/>
      <c r="G57" s="1539"/>
      <c r="H57" s="1539">
        <v>0</v>
      </c>
      <c r="I57" s="1348">
        <f t="shared" si="31"/>
        <v>338000</v>
      </c>
      <c r="J57" s="1348">
        <f>SUM(I57)/1.27</f>
        <v>266142</v>
      </c>
      <c r="K57" s="1347">
        <f>SUM(J57)*0.27</f>
        <v>71858</v>
      </c>
      <c r="L57" s="1137">
        <v>338000</v>
      </c>
      <c r="M57" s="1137"/>
      <c r="N57" s="1347"/>
      <c r="O57" s="1349">
        <f t="shared" si="32"/>
        <v>0</v>
      </c>
      <c r="P57" s="1252"/>
      <c r="Q57" s="1252"/>
      <c r="R57" s="1252"/>
      <c r="S57" s="1350">
        <f t="shared" si="33"/>
        <v>338000</v>
      </c>
      <c r="T57" s="451">
        <f>SUM(S57)/1.27</f>
        <v>266142</v>
      </c>
      <c r="U57" s="660">
        <f>SUM(T57)*0.27</f>
        <v>71858</v>
      </c>
      <c r="V57" s="451">
        <f t="shared" si="34"/>
        <v>338000</v>
      </c>
      <c r="W57" s="451">
        <f t="shared" si="35"/>
        <v>0</v>
      </c>
      <c r="X57" s="660">
        <f t="shared" si="36"/>
        <v>0</v>
      </c>
      <c r="Y57" s="1696">
        <f t="shared" si="37"/>
        <v>338000</v>
      </c>
      <c r="Z57" s="1679">
        <v>266142</v>
      </c>
      <c r="AA57" s="1680">
        <f t="shared" si="38"/>
        <v>71858</v>
      </c>
      <c r="AB57" s="451">
        <v>338000</v>
      </c>
      <c r="AC57" s="1137"/>
      <c r="AD57" s="1550"/>
    </row>
    <row r="58" spans="1:30" s="293" customFormat="1" ht="15" customHeight="1">
      <c r="A58" s="1549"/>
      <c r="B58" s="1537" t="s">
        <v>1131</v>
      </c>
      <c r="C58" s="1538">
        <v>0</v>
      </c>
      <c r="D58" s="1539">
        <v>0</v>
      </c>
      <c r="E58" s="1540">
        <v>0</v>
      </c>
      <c r="F58" s="1539"/>
      <c r="G58" s="1539"/>
      <c r="H58" s="1539">
        <v>0</v>
      </c>
      <c r="I58" s="1348">
        <f t="shared" si="31"/>
        <v>150000</v>
      </c>
      <c r="J58" s="1348">
        <f>SUM(I58)/1</f>
        <v>150000</v>
      </c>
      <c r="K58" s="1347">
        <f>SUM(J58)*0</f>
        <v>0</v>
      </c>
      <c r="L58" s="1137">
        <v>150000</v>
      </c>
      <c r="M58" s="1137"/>
      <c r="N58" s="1347"/>
      <c r="O58" s="1349">
        <f t="shared" si="32"/>
        <v>0</v>
      </c>
      <c r="P58" s="1252"/>
      <c r="Q58" s="1252"/>
      <c r="R58" s="1252"/>
      <c r="S58" s="1350">
        <f t="shared" si="33"/>
        <v>150000</v>
      </c>
      <c r="T58" s="451">
        <f>SUM(S58)/1</f>
        <v>150000</v>
      </c>
      <c r="U58" s="660">
        <f>SUM(T58)*0</f>
        <v>0</v>
      </c>
      <c r="V58" s="451">
        <f t="shared" si="34"/>
        <v>150000</v>
      </c>
      <c r="W58" s="451">
        <f t="shared" si="35"/>
        <v>0</v>
      </c>
      <c r="X58" s="660">
        <f t="shared" si="36"/>
        <v>0</v>
      </c>
      <c r="Y58" s="1696">
        <f t="shared" si="37"/>
        <v>150000</v>
      </c>
      <c r="Z58" s="1679">
        <v>150000</v>
      </c>
      <c r="AA58" s="1680">
        <v>0</v>
      </c>
      <c r="AB58" s="451">
        <v>150000</v>
      </c>
      <c r="AC58" s="1137"/>
      <c r="AD58" s="1550"/>
    </row>
    <row r="59" spans="1:30" s="293" customFormat="1" ht="14.25" customHeight="1">
      <c r="A59" s="1549"/>
      <c r="B59" s="1537" t="s">
        <v>1132</v>
      </c>
      <c r="C59" s="1538">
        <v>0</v>
      </c>
      <c r="D59" s="1539">
        <v>0</v>
      </c>
      <c r="E59" s="1540">
        <v>0</v>
      </c>
      <c r="F59" s="1539"/>
      <c r="G59" s="1539"/>
      <c r="H59" s="1539">
        <v>0</v>
      </c>
      <c r="I59" s="1348">
        <f t="shared" si="31"/>
        <v>4883000</v>
      </c>
      <c r="J59" s="1348">
        <f t="shared" ref="J59:J85" si="39">SUM(I59)/1.27</f>
        <v>3844882</v>
      </c>
      <c r="K59" s="1347">
        <f>SUM(J59)*0.27</f>
        <v>1038118</v>
      </c>
      <c r="L59" s="1137">
        <v>4883000</v>
      </c>
      <c r="M59" s="1137"/>
      <c r="N59" s="1347"/>
      <c r="O59" s="1349">
        <f t="shared" si="32"/>
        <v>0</v>
      </c>
      <c r="P59" s="1252"/>
      <c r="Q59" s="1252"/>
      <c r="R59" s="1252"/>
      <c r="S59" s="1350">
        <f t="shared" si="33"/>
        <v>4883000</v>
      </c>
      <c r="T59" s="451">
        <f t="shared" ref="T59:T89" si="40">SUM(S59)/1.27</f>
        <v>3844882</v>
      </c>
      <c r="U59" s="660">
        <f>SUM(T59)*0.27</f>
        <v>1038118</v>
      </c>
      <c r="V59" s="451">
        <f t="shared" si="34"/>
        <v>4883000</v>
      </c>
      <c r="W59" s="451">
        <f t="shared" si="35"/>
        <v>0</v>
      </c>
      <c r="X59" s="660">
        <f t="shared" si="36"/>
        <v>0</v>
      </c>
      <c r="Y59" s="1696">
        <f t="shared" si="37"/>
        <v>4752390</v>
      </c>
      <c r="Z59" s="1679">
        <v>3714272</v>
      </c>
      <c r="AA59" s="1680">
        <v>1038118</v>
      </c>
      <c r="AB59" s="451">
        <v>4752390</v>
      </c>
      <c r="AC59" s="1137"/>
      <c r="AD59" s="1550"/>
    </row>
    <row r="60" spans="1:30" s="293" customFormat="1" ht="14.25" customHeight="1">
      <c r="A60" s="1549"/>
      <c r="B60" s="1236" t="s">
        <v>1133</v>
      </c>
      <c r="C60" s="1538">
        <v>0</v>
      </c>
      <c r="D60" s="1539">
        <v>0</v>
      </c>
      <c r="E60" s="1540">
        <v>0</v>
      </c>
      <c r="F60" s="1539"/>
      <c r="G60" s="1539"/>
      <c r="H60" s="1539"/>
      <c r="I60" s="1348">
        <f t="shared" si="31"/>
        <v>88900</v>
      </c>
      <c r="J60" s="1348">
        <f t="shared" si="39"/>
        <v>70000</v>
      </c>
      <c r="K60" s="1347">
        <f>SUM(J60)*0.27</f>
        <v>18900</v>
      </c>
      <c r="L60" s="1137">
        <v>88900</v>
      </c>
      <c r="M60" s="1137"/>
      <c r="N60" s="1347"/>
      <c r="O60" s="1349">
        <f t="shared" si="32"/>
        <v>0</v>
      </c>
      <c r="P60" s="1552"/>
      <c r="Q60" s="1252"/>
      <c r="R60" s="1252"/>
      <c r="S60" s="1350">
        <f t="shared" si="33"/>
        <v>88900</v>
      </c>
      <c r="T60" s="451">
        <f t="shared" si="40"/>
        <v>70000</v>
      </c>
      <c r="U60" s="660">
        <f>SUM(T60)*0.27</f>
        <v>18900</v>
      </c>
      <c r="V60" s="451">
        <f t="shared" si="34"/>
        <v>88900</v>
      </c>
      <c r="W60" s="451">
        <f t="shared" si="35"/>
        <v>0</v>
      </c>
      <c r="X60" s="660">
        <f t="shared" si="36"/>
        <v>0</v>
      </c>
      <c r="Y60" s="1696">
        <f t="shared" si="37"/>
        <v>88900</v>
      </c>
      <c r="Z60" s="1679">
        <v>70000</v>
      </c>
      <c r="AA60" s="1680">
        <f t="shared" si="38"/>
        <v>18900</v>
      </c>
      <c r="AB60" s="451">
        <v>88900</v>
      </c>
      <c r="AC60" s="1137"/>
      <c r="AD60" s="1550"/>
    </row>
    <row r="61" spans="1:30" s="293" customFormat="1" ht="14.25" customHeight="1">
      <c r="A61" s="1549"/>
      <c r="B61" s="1236" t="s">
        <v>1134</v>
      </c>
      <c r="C61" s="1538">
        <v>0</v>
      </c>
      <c r="D61" s="1539">
        <v>0</v>
      </c>
      <c r="E61" s="1540">
        <v>0</v>
      </c>
      <c r="F61" s="1539"/>
      <c r="G61" s="1539"/>
      <c r="H61" s="1539"/>
      <c r="I61" s="1348">
        <f t="shared" si="31"/>
        <v>127000</v>
      </c>
      <c r="J61" s="1348">
        <f t="shared" si="39"/>
        <v>100000</v>
      </c>
      <c r="K61" s="1347">
        <f>SUM(J61)*0.27</f>
        <v>27000</v>
      </c>
      <c r="L61" s="1137">
        <v>127000</v>
      </c>
      <c r="M61" s="1137"/>
      <c r="N61" s="1347"/>
      <c r="O61" s="1349">
        <f t="shared" si="32"/>
        <v>0</v>
      </c>
      <c r="P61" s="1552"/>
      <c r="Q61" s="1252"/>
      <c r="R61" s="1252"/>
      <c r="S61" s="1350">
        <f t="shared" si="33"/>
        <v>127000</v>
      </c>
      <c r="T61" s="451">
        <f t="shared" si="40"/>
        <v>100000</v>
      </c>
      <c r="U61" s="660">
        <f>SUM(T61)*0.27</f>
        <v>27000</v>
      </c>
      <c r="V61" s="451">
        <f t="shared" si="34"/>
        <v>127000</v>
      </c>
      <c r="W61" s="451">
        <f t="shared" si="35"/>
        <v>0</v>
      </c>
      <c r="X61" s="660">
        <f t="shared" si="36"/>
        <v>0</v>
      </c>
      <c r="Y61" s="1696">
        <f t="shared" si="37"/>
        <v>127000</v>
      </c>
      <c r="Z61" s="1679">
        <v>100000</v>
      </c>
      <c r="AA61" s="1680">
        <f t="shared" si="38"/>
        <v>27000</v>
      </c>
      <c r="AB61" s="451">
        <v>127000</v>
      </c>
      <c r="AC61" s="1137"/>
      <c r="AD61" s="1550"/>
    </row>
    <row r="62" spans="1:30" s="293" customFormat="1" ht="14.25" customHeight="1">
      <c r="A62" s="1549"/>
      <c r="B62" s="1236" t="s">
        <v>1135</v>
      </c>
      <c r="C62" s="1538">
        <v>0</v>
      </c>
      <c r="D62" s="1539">
        <v>0</v>
      </c>
      <c r="E62" s="1540">
        <v>0</v>
      </c>
      <c r="F62" s="1539"/>
      <c r="G62" s="1539"/>
      <c r="H62" s="1539"/>
      <c r="I62" s="1348">
        <f t="shared" si="31"/>
        <v>2240000</v>
      </c>
      <c r="J62" s="1348">
        <f t="shared" si="39"/>
        <v>1763780</v>
      </c>
      <c r="K62" s="1347">
        <f>SUM(J62)*0.27-1</f>
        <v>476220</v>
      </c>
      <c r="L62" s="1137">
        <v>2240000</v>
      </c>
      <c r="M62" s="1137"/>
      <c r="N62" s="1347"/>
      <c r="O62" s="1349">
        <f t="shared" si="32"/>
        <v>0</v>
      </c>
      <c r="P62" s="1552"/>
      <c r="Q62" s="1252"/>
      <c r="R62" s="1252"/>
      <c r="S62" s="1350">
        <f t="shared" si="33"/>
        <v>2240000</v>
      </c>
      <c r="T62" s="451">
        <f t="shared" si="40"/>
        <v>1763780</v>
      </c>
      <c r="U62" s="660">
        <f>SUM(T62)*0.27-1</f>
        <v>476220</v>
      </c>
      <c r="V62" s="451">
        <f t="shared" si="34"/>
        <v>2240000</v>
      </c>
      <c r="W62" s="451">
        <f t="shared" si="35"/>
        <v>0</v>
      </c>
      <c r="X62" s="660">
        <f t="shared" si="36"/>
        <v>0</v>
      </c>
      <c r="Y62" s="1696">
        <f t="shared" si="37"/>
        <v>2240001</v>
      </c>
      <c r="Z62" s="1679">
        <v>1763780</v>
      </c>
      <c r="AA62" s="1680">
        <f t="shared" si="38"/>
        <v>476221</v>
      </c>
      <c r="AB62" s="451">
        <v>2240001</v>
      </c>
      <c r="AC62" s="1137"/>
      <c r="AD62" s="1550"/>
    </row>
    <row r="63" spans="1:30" s="293" customFormat="1" ht="14.25" customHeight="1">
      <c r="A63" s="1549"/>
      <c r="B63" s="1236" t="s">
        <v>1136</v>
      </c>
      <c r="C63" s="1538">
        <v>0</v>
      </c>
      <c r="D63" s="1539">
        <v>0</v>
      </c>
      <c r="E63" s="1540">
        <v>0</v>
      </c>
      <c r="F63" s="1539"/>
      <c r="G63" s="1539"/>
      <c r="H63" s="1539"/>
      <c r="I63" s="1348">
        <f t="shared" si="31"/>
        <v>381000</v>
      </c>
      <c r="J63" s="1348">
        <f t="shared" si="39"/>
        <v>300000</v>
      </c>
      <c r="K63" s="1347">
        <f>SUM(J63)*0.27</f>
        <v>81000</v>
      </c>
      <c r="L63" s="1137">
        <v>381000</v>
      </c>
      <c r="M63" s="1137"/>
      <c r="N63" s="1347"/>
      <c r="O63" s="1349">
        <f t="shared" si="32"/>
        <v>0</v>
      </c>
      <c r="P63" s="1552"/>
      <c r="Q63" s="1252"/>
      <c r="R63" s="1252"/>
      <c r="S63" s="1350">
        <f t="shared" si="33"/>
        <v>381000</v>
      </c>
      <c r="T63" s="451">
        <f t="shared" si="40"/>
        <v>300000</v>
      </c>
      <c r="U63" s="660">
        <f>SUM(T63)*0.27</f>
        <v>81000</v>
      </c>
      <c r="V63" s="451">
        <f t="shared" si="34"/>
        <v>381000</v>
      </c>
      <c r="W63" s="451">
        <f t="shared" si="35"/>
        <v>0</v>
      </c>
      <c r="X63" s="660">
        <f t="shared" si="36"/>
        <v>0</v>
      </c>
      <c r="Y63" s="1696">
        <f t="shared" si="37"/>
        <v>381000</v>
      </c>
      <c r="Z63" s="1679">
        <v>300000</v>
      </c>
      <c r="AA63" s="1680">
        <f t="shared" si="38"/>
        <v>81000</v>
      </c>
      <c r="AB63" s="451">
        <v>381000</v>
      </c>
      <c r="AC63" s="1137"/>
      <c r="AD63" s="1550"/>
    </row>
    <row r="64" spans="1:30" s="293" customFormat="1" ht="14.25" customHeight="1">
      <c r="A64" s="1549"/>
      <c r="B64" s="1236" t="s">
        <v>1137</v>
      </c>
      <c r="C64" s="1538">
        <v>0</v>
      </c>
      <c r="D64" s="1539">
        <v>0</v>
      </c>
      <c r="E64" s="1540">
        <v>0</v>
      </c>
      <c r="F64" s="1539"/>
      <c r="G64" s="1539"/>
      <c r="H64" s="1539"/>
      <c r="I64" s="1348">
        <f t="shared" si="31"/>
        <v>127000</v>
      </c>
      <c r="J64" s="1348">
        <f t="shared" si="39"/>
        <v>100000</v>
      </c>
      <c r="K64" s="1347">
        <f>SUM(J64)*0.27</f>
        <v>27000</v>
      </c>
      <c r="L64" s="1137">
        <v>127000</v>
      </c>
      <c r="M64" s="1137"/>
      <c r="N64" s="1347"/>
      <c r="O64" s="1349">
        <f t="shared" si="32"/>
        <v>0</v>
      </c>
      <c r="P64" s="1552"/>
      <c r="Q64" s="1252"/>
      <c r="R64" s="1252"/>
      <c r="S64" s="1350">
        <f t="shared" si="33"/>
        <v>127000</v>
      </c>
      <c r="T64" s="451">
        <f t="shared" si="40"/>
        <v>100000</v>
      </c>
      <c r="U64" s="660">
        <f>SUM(T64)*0.27</f>
        <v>27000</v>
      </c>
      <c r="V64" s="451">
        <f t="shared" si="34"/>
        <v>127000</v>
      </c>
      <c r="W64" s="451">
        <f t="shared" si="35"/>
        <v>0</v>
      </c>
      <c r="X64" s="660">
        <f t="shared" si="36"/>
        <v>0</v>
      </c>
      <c r="Y64" s="1696">
        <f t="shared" si="37"/>
        <v>127000</v>
      </c>
      <c r="Z64" s="1679">
        <v>100000</v>
      </c>
      <c r="AA64" s="1680">
        <f t="shared" si="38"/>
        <v>27000</v>
      </c>
      <c r="AB64" s="451">
        <v>127000</v>
      </c>
      <c r="AC64" s="1137"/>
      <c r="AD64" s="1550"/>
    </row>
    <row r="65" spans="1:30" s="293" customFormat="1" ht="14.25" customHeight="1">
      <c r="A65" s="1549"/>
      <c r="B65" s="1236" t="s">
        <v>1138</v>
      </c>
      <c r="C65" s="1538">
        <v>0</v>
      </c>
      <c r="D65" s="1539">
        <v>0</v>
      </c>
      <c r="E65" s="1540">
        <v>0</v>
      </c>
      <c r="F65" s="1539"/>
      <c r="G65" s="1539"/>
      <c r="H65" s="1539"/>
      <c r="I65" s="1348">
        <f t="shared" si="31"/>
        <v>317500</v>
      </c>
      <c r="J65" s="1348">
        <f t="shared" si="39"/>
        <v>250000</v>
      </c>
      <c r="K65" s="1347">
        <f>SUM(J65)*0.27</f>
        <v>67500</v>
      </c>
      <c r="L65" s="1137">
        <v>317500</v>
      </c>
      <c r="M65" s="1137"/>
      <c r="N65" s="1347"/>
      <c r="O65" s="1349">
        <f t="shared" si="32"/>
        <v>0</v>
      </c>
      <c r="P65" s="1552"/>
      <c r="Q65" s="1252"/>
      <c r="R65" s="1252"/>
      <c r="S65" s="1350">
        <f t="shared" si="33"/>
        <v>317500</v>
      </c>
      <c r="T65" s="451">
        <f t="shared" si="40"/>
        <v>250000</v>
      </c>
      <c r="U65" s="660">
        <f>SUM(T65)*0.27</f>
        <v>67500</v>
      </c>
      <c r="V65" s="451">
        <f t="shared" si="34"/>
        <v>317500</v>
      </c>
      <c r="W65" s="451">
        <f t="shared" si="35"/>
        <v>0</v>
      </c>
      <c r="X65" s="660">
        <f t="shared" si="36"/>
        <v>0</v>
      </c>
      <c r="Y65" s="1696">
        <f t="shared" si="37"/>
        <v>317500</v>
      </c>
      <c r="Z65" s="1679">
        <v>250000</v>
      </c>
      <c r="AA65" s="1680">
        <f t="shared" si="38"/>
        <v>67500</v>
      </c>
      <c r="AB65" s="451">
        <v>317500</v>
      </c>
      <c r="AC65" s="1137"/>
      <c r="AD65" s="1550"/>
    </row>
    <row r="66" spans="1:30" s="293" customFormat="1" ht="14.25" customHeight="1">
      <c r="A66" s="1549"/>
      <c r="B66" s="1236" t="s">
        <v>1139</v>
      </c>
      <c r="C66" s="1538">
        <v>0</v>
      </c>
      <c r="D66" s="1539">
        <v>0</v>
      </c>
      <c r="E66" s="1540">
        <v>0</v>
      </c>
      <c r="F66" s="1539"/>
      <c r="G66" s="1539"/>
      <c r="H66" s="1539"/>
      <c r="I66" s="1348">
        <f t="shared" si="31"/>
        <v>12700</v>
      </c>
      <c r="J66" s="1348">
        <f t="shared" si="39"/>
        <v>10000</v>
      </c>
      <c r="K66" s="1347">
        <f>SUM(J66)*0.27</f>
        <v>2700</v>
      </c>
      <c r="L66" s="1137">
        <v>12700</v>
      </c>
      <c r="M66" s="1137"/>
      <c r="N66" s="1347"/>
      <c r="O66" s="1349">
        <f t="shared" si="32"/>
        <v>0</v>
      </c>
      <c r="P66" s="1552"/>
      <c r="Q66" s="1252"/>
      <c r="R66" s="1252"/>
      <c r="S66" s="1350">
        <f t="shared" si="33"/>
        <v>12700</v>
      </c>
      <c r="T66" s="451">
        <f t="shared" si="40"/>
        <v>10000</v>
      </c>
      <c r="U66" s="660">
        <f>SUM(T66)*0.27</f>
        <v>2700</v>
      </c>
      <c r="V66" s="451">
        <f t="shared" si="34"/>
        <v>12700</v>
      </c>
      <c r="W66" s="451">
        <f t="shared" si="35"/>
        <v>0</v>
      </c>
      <c r="X66" s="660">
        <f t="shared" si="36"/>
        <v>0</v>
      </c>
      <c r="Y66" s="1696">
        <f t="shared" si="37"/>
        <v>12700</v>
      </c>
      <c r="Z66" s="1679">
        <v>10000</v>
      </c>
      <c r="AA66" s="1680">
        <f t="shared" si="38"/>
        <v>2700</v>
      </c>
      <c r="AB66" s="451">
        <v>12700</v>
      </c>
      <c r="AC66" s="1137"/>
      <c r="AD66" s="1550"/>
    </row>
    <row r="67" spans="1:30" s="293" customFormat="1" ht="14.25" customHeight="1">
      <c r="A67" s="1549"/>
      <c r="B67" s="1236" t="s">
        <v>1140</v>
      </c>
      <c r="C67" s="1538">
        <v>0</v>
      </c>
      <c r="D67" s="1539">
        <v>0</v>
      </c>
      <c r="E67" s="1540">
        <v>0</v>
      </c>
      <c r="F67" s="1539"/>
      <c r="G67" s="1539"/>
      <c r="H67" s="1539"/>
      <c r="I67" s="1348">
        <f t="shared" si="31"/>
        <v>40000</v>
      </c>
      <c r="J67" s="1348">
        <f t="shared" si="39"/>
        <v>31496</v>
      </c>
      <c r="K67" s="1347">
        <f>SUM(J67)*0.27</f>
        <v>8504</v>
      </c>
      <c r="L67" s="1137">
        <v>40000</v>
      </c>
      <c r="M67" s="1137"/>
      <c r="N67" s="1347"/>
      <c r="O67" s="1349">
        <f t="shared" si="32"/>
        <v>0</v>
      </c>
      <c r="P67" s="1552"/>
      <c r="Q67" s="1252"/>
      <c r="R67" s="1252"/>
      <c r="S67" s="1350">
        <f t="shared" si="33"/>
        <v>40000</v>
      </c>
      <c r="T67" s="451">
        <f t="shared" si="40"/>
        <v>31496</v>
      </c>
      <c r="U67" s="660">
        <f>SUM(T67)*0.27</f>
        <v>8504</v>
      </c>
      <c r="V67" s="451">
        <f t="shared" si="34"/>
        <v>40000</v>
      </c>
      <c r="W67" s="451">
        <f t="shared" si="35"/>
        <v>0</v>
      </c>
      <c r="X67" s="660">
        <f t="shared" si="36"/>
        <v>0</v>
      </c>
      <c r="Y67" s="1696">
        <f t="shared" si="37"/>
        <v>40000</v>
      </c>
      <c r="Z67" s="1679">
        <v>31496</v>
      </c>
      <c r="AA67" s="1680">
        <f t="shared" si="38"/>
        <v>8504</v>
      </c>
      <c r="AB67" s="451">
        <v>40000</v>
      </c>
      <c r="AC67" s="1137"/>
      <c r="AD67" s="1550"/>
    </row>
    <row r="68" spans="1:30" s="293" customFormat="1" ht="14.25" customHeight="1">
      <c r="A68" s="1549"/>
      <c r="B68" s="1236" t="s">
        <v>1141</v>
      </c>
      <c r="C68" s="1538">
        <v>0</v>
      </c>
      <c r="D68" s="1539">
        <v>0</v>
      </c>
      <c r="E68" s="1540">
        <v>0</v>
      </c>
      <c r="F68" s="1539"/>
      <c r="G68" s="1539"/>
      <c r="H68" s="1539"/>
      <c r="I68" s="1348">
        <f t="shared" si="31"/>
        <v>76000</v>
      </c>
      <c r="J68" s="1348">
        <f t="shared" si="39"/>
        <v>59843</v>
      </c>
      <c r="K68" s="1347">
        <f>SUM(J68)*0.27-1</f>
        <v>16157</v>
      </c>
      <c r="L68" s="1137">
        <v>76000</v>
      </c>
      <c r="M68" s="1137"/>
      <c r="N68" s="1347"/>
      <c r="O68" s="1349">
        <f t="shared" si="32"/>
        <v>0</v>
      </c>
      <c r="P68" s="1552"/>
      <c r="Q68" s="1252"/>
      <c r="R68" s="1252"/>
      <c r="S68" s="1350">
        <f t="shared" si="33"/>
        <v>76000</v>
      </c>
      <c r="T68" s="451">
        <f t="shared" si="40"/>
        <v>59843</v>
      </c>
      <c r="U68" s="660">
        <f>SUM(T68)*0.27-1</f>
        <v>16157</v>
      </c>
      <c r="V68" s="451">
        <f t="shared" si="34"/>
        <v>76000</v>
      </c>
      <c r="W68" s="451">
        <f t="shared" si="35"/>
        <v>0</v>
      </c>
      <c r="X68" s="660">
        <f t="shared" si="36"/>
        <v>0</v>
      </c>
      <c r="Y68" s="1696">
        <f t="shared" si="37"/>
        <v>76001</v>
      </c>
      <c r="Z68" s="1679">
        <v>59843</v>
      </c>
      <c r="AA68" s="1680">
        <f t="shared" si="38"/>
        <v>16158</v>
      </c>
      <c r="AB68" s="451">
        <v>76001</v>
      </c>
      <c r="AC68" s="1137"/>
      <c r="AD68" s="1550"/>
    </row>
    <row r="69" spans="1:30" s="293" customFormat="1" ht="14.25" customHeight="1">
      <c r="A69" s="1549"/>
      <c r="B69" s="1236" t="s">
        <v>1142</v>
      </c>
      <c r="C69" s="1538">
        <v>0</v>
      </c>
      <c r="D69" s="1539">
        <v>0</v>
      </c>
      <c r="E69" s="1540">
        <v>0</v>
      </c>
      <c r="F69" s="1539"/>
      <c r="G69" s="1539"/>
      <c r="H69" s="1539"/>
      <c r="I69" s="1348">
        <f t="shared" si="31"/>
        <v>254000</v>
      </c>
      <c r="J69" s="1348">
        <f t="shared" si="39"/>
        <v>200000</v>
      </c>
      <c r="K69" s="1347">
        <f>SUM(J69)*0.27</f>
        <v>54000</v>
      </c>
      <c r="L69" s="1137">
        <v>254000</v>
      </c>
      <c r="M69" s="1137"/>
      <c r="N69" s="1347"/>
      <c r="O69" s="1349">
        <f t="shared" si="32"/>
        <v>0</v>
      </c>
      <c r="P69" s="1552"/>
      <c r="Q69" s="1252"/>
      <c r="R69" s="1252"/>
      <c r="S69" s="1350">
        <f t="shared" si="33"/>
        <v>254000</v>
      </c>
      <c r="T69" s="451">
        <f t="shared" si="40"/>
        <v>200000</v>
      </c>
      <c r="U69" s="660">
        <f>SUM(T69)*0.27</f>
        <v>54000</v>
      </c>
      <c r="V69" s="451">
        <f t="shared" si="34"/>
        <v>254000</v>
      </c>
      <c r="W69" s="451">
        <f t="shared" si="35"/>
        <v>0</v>
      </c>
      <c r="X69" s="660">
        <f t="shared" si="36"/>
        <v>0</v>
      </c>
      <c r="Y69" s="1696">
        <f t="shared" si="37"/>
        <v>254000</v>
      </c>
      <c r="Z69" s="1679">
        <v>200000</v>
      </c>
      <c r="AA69" s="1680">
        <f t="shared" si="38"/>
        <v>54000</v>
      </c>
      <c r="AB69" s="451">
        <v>254000</v>
      </c>
      <c r="AC69" s="1137"/>
      <c r="AD69" s="1550"/>
    </row>
    <row r="70" spans="1:30" s="293" customFormat="1" ht="14.25" customHeight="1">
      <c r="A70" s="1549"/>
      <c r="B70" s="1236" t="s">
        <v>1143</v>
      </c>
      <c r="C70" s="1538">
        <v>0</v>
      </c>
      <c r="D70" s="1539">
        <v>0</v>
      </c>
      <c r="E70" s="1540">
        <v>0</v>
      </c>
      <c r="F70" s="1539"/>
      <c r="G70" s="1539"/>
      <c r="H70" s="1539"/>
      <c r="I70" s="1348">
        <f t="shared" si="31"/>
        <v>90400</v>
      </c>
      <c r="J70" s="1348">
        <f t="shared" si="39"/>
        <v>71181</v>
      </c>
      <c r="K70" s="1347">
        <f>SUM(J70)*0.27</f>
        <v>19219</v>
      </c>
      <c r="L70" s="1137">
        <v>90400</v>
      </c>
      <c r="M70" s="1137"/>
      <c r="N70" s="1347"/>
      <c r="O70" s="1349">
        <f t="shared" si="32"/>
        <v>0</v>
      </c>
      <c r="P70" s="1552"/>
      <c r="Q70" s="1252"/>
      <c r="R70" s="1252"/>
      <c r="S70" s="1350">
        <f t="shared" si="33"/>
        <v>90400</v>
      </c>
      <c r="T70" s="451">
        <f t="shared" si="40"/>
        <v>71181</v>
      </c>
      <c r="U70" s="660">
        <f>SUM(T70)*0.27</f>
        <v>19219</v>
      </c>
      <c r="V70" s="451">
        <f t="shared" si="34"/>
        <v>90400</v>
      </c>
      <c r="W70" s="451">
        <f t="shared" si="35"/>
        <v>0</v>
      </c>
      <c r="X70" s="660">
        <f t="shared" si="36"/>
        <v>0</v>
      </c>
      <c r="Y70" s="1696">
        <f t="shared" si="37"/>
        <v>90400</v>
      </c>
      <c r="Z70" s="1679">
        <v>71181</v>
      </c>
      <c r="AA70" s="1680">
        <f t="shared" si="38"/>
        <v>19219</v>
      </c>
      <c r="AB70" s="451">
        <v>90400</v>
      </c>
      <c r="AC70" s="1137"/>
      <c r="AD70" s="1550"/>
    </row>
    <row r="71" spans="1:30" s="293" customFormat="1" ht="14.25" customHeight="1">
      <c r="A71" s="1549"/>
      <c r="B71" s="1236" t="s">
        <v>1144</v>
      </c>
      <c r="C71" s="1538">
        <v>0</v>
      </c>
      <c r="D71" s="1539">
        <v>0</v>
      </c>
      <c r="E71" s="1540">
        <v>0</v>
      </c>
      <c r="F71" s="1539"/>
      <c r="G71" s="1539"/>
      <c r="H71" s="1539"/>
      <c r="I71" s="1348">
        <f t="shared" si="31"/>
        <v>96500</v>
      </c>
      <c r="J71" s="1348">
        <f t="shared" si="39"/>
        <v>75984</v>
      </c>
      <c r="K71" s="1347">
        <f>SUM(J71)*0.27</f>
        <v>20516</v>
      </c>
      <c r="L71" s="1137">
        <v>96500</v>
      </c>
      <c r="M71" s="1137"/>
      <c r="N71" s="1347"/>
      <c r="O71" s="1349">
        <f t="shared" si="32"/>
        <v>0</v>
      </c>
      <c r="P71" s="1552"/>
      <c r="Q71" s="1252"/>
      <c r="R71" s="1252"/>
      <c r="S71" s="1350">
        <f t="shared" si="33"/>
        <v>96500</v>
      </c>
      <c r="T71" s="451">
        <f t="shared" si="40"/>
        <v>75984</v>
      </c>
      <c r="U71" s="660">
        <f>SUM(T71)*0.27</f>
        <v>20516</v>
      </c>
      <c r="V71" s="451">
        <f t="shared" si="34"/>
        <v>96500</v>
      </c>
      <c r="W71" s="451">
        <f t="shared" si="35"/>
        <v>0</v>
      </c>
      <c r="X71" s="660">
        <f t="shared" si="36"/>
        <v>0</v>
      </c>
      <c r="Y71" s="1696">
        <f t="shared" si="37"/>
        <v>96500</v>
      </c>
      <c r="Z71" s="1679">
        <v>75984</v>
      </c>
      <c r="AA71" s="1680">
        <f t="shared" si="38"/>
        <v>20516</v>
      </c>
      <c r="AB71" s="451">
        <v>96500</v>
      </c>
      <c r="AC71" s="1137"/>
      <c r="AD71" s="1550"/>
    </row>
    <row r="72" spans="1:30" s="293" customFormat="1" ht="14.25" customHeight="1">
      <c r="A72" s="1549"/>
      <c r="B72" s="1236" t="s">
        <v>1145</v>
      </c>
      <c r="C72" s="1538">
        <v>0</v>
      </c>
      <c r="D72" s="1539">
        <v>0</v>
      </c>
      <c r="E72" s="1540">
        <v>0</v>
      </c>
      <c r="F72" s="1539"/>
      <c r="G72" s="1539"/>
      <c r="H72" s="1539"/>
      <c r="I72" s="1348">
        <f t="shared" si="31"/>
        <v>2540000</v>
      </c>
      <c r="J72" s="1348">
        <f t="shared" si="39"/>
        <v>2000000</v>
      </c>
      <c r="K72" s="1347">
        <f>SUM(J72)*0.27</f>
        <v>540000</v>
      </c>
      <c r="L72" s="1137">
        <v>2540000</v>
      </c>
      <c r="M72" s="1137"/>
      <c r="N72" s="1347"/>
      <c r="O72" s="1349">
        <f t="shared" si="32"/>
        <v>0</v>
      </c>
      <c r="P72" s="1552"/>
      <c r="Q72" s="1252"/>
      <c r="R72" s="1252"/>
      <c r="S72" s="1350">
        <f t="shared" si="33"/>
        <v>2540000</v>
      </c>
      <c r="T72" s="451">
        <f t="shared" si="40"/>
        <v>2000000</v>
      </c>
      <c r="U72" s="660">
        <f>SUM(T72)*0.27</f>
        <v>540000</v>
      </c>
      <c r="V72" s="451">
        <f t="shared" si="34"/>
        <v>2540000</v>
      </c>
      <c r="W72" s="451">
        <f t="shared" si="35"/>
        <v>0</v>
      </c>
      <c r="X72" s="660">
        <f t="shared" si="36"/>
        <v>0</v>
      </c>
      <c r="Y72" s="1696">
        <f t="shared" si="37"/>
        <v>758825</v>
      </c>
      <c r="Z72" s="1679">
        <v>597500</v>
      </c>
      <c r="AA72" s="1680">
        <f t="shared" si="38"/>
        <v>161325</v>
      </c>
      <c r="AB72" s="451">
        <v>758825</v>
      </c>
      <c r="AC72" s="1137"/>
      <c r="AD72" s="1550"/>
    </row>
    <row r="73" spans="1:30" s="293" customFormat="1" ht="14.25" customHeight="1">
      <c r="A73" s="1549"/>
      <c r="B73" s="1236" t="s">
        <v>1146</v>
      </c>
      <c r="C73" s="1538">
        <v>0</v>
      </c>
      <c r="D73" s="1539">
        <v>0</v>
      </c>
      <c r="E73" s="1540">
        <v>0</v>
      </c>
      <c r="F73" s="1539"/>
      <c r="G73" s="1539"/>
      <c r="H73" s="1539"/>
      <c r="I73" s="1348">
        <f t="shared" si="31"/>
        <v>600000</v>
      </c>
      <c r="J73" s="1348">
        <f t="shared" si="39"/>
        <v>472441</v>
      </c>
      <c r="K73" s="1347">
        <f>SUM(J73)*0.27</f>
        <v>127559</v>
      </c>
      <c r="L73" s="1137">
        <v>600000</v>
      </c>
      <c r="M73" s="1137"/>
      <c r="N73" s="1347"/>
      <c r="O73" s="1349">
        <f t="shared" si="32"/>
        <v>0</v>
      </c>
      <c r="P73" s="1552"/>
      <c r="Q73" s="1252"/>
      <c r="R73" s="1252"/>
      <c r="S73" s="1350">
        <f t="shared" si="33"/>
        <v>600000</v>
      </c>
      <c r="T73" s="451">
        <f t="shared" si="40"/>
        <v>472441</v>
      </c>
      <c r="U73" s="660">
        <f>SUM(T73)*0.27</f>
        <v>127559</v>
      </c>
      <c r="V73" s="451">
        <f t="shared" si="34"/>
        <v>600000</v>
      </c>
      <c r="W73" s="451">
        <f t="shared" si="35"/>
        <v>0</v>
      </c>
      <c r="X73" s="660">
        <f t="shared" si="36"/>
        <v>0</v>
      </c>
      <c r="Y73" s="1696">
        <f t="shared" si="37"/>
        <v>600000</v>
      </c>
      <c r="Z73" s="1679">
        <v>472441</v>
      </c>
      <c r="AA73" s="1680">
        <f t="shared" si="38"/>
        <v>127559</v>
      </c>
      <c r="AB73" s="451">
        <v>600000</v>
      </c>
      <c r="AC73" s="1137"/>
      <c r="AD73" s="1550"/>
    </row>
    <row r="74" spans="1:30" s="293" customFormat="1" ht="14.25" customHeight="1">
      <c r="A74" s="1549"/>
      <c r="B74" s="1236" t="s">
        <v>1147</v>
      </c>
      <c r="C74" s="1538">
        <v>0</v>
      </c>
      <c r="D74" s="1539">
        <v>0</v>
      </c>
      <c r="E74" s="1540">
        <v>0</v>
      </c>
      <c r="F74" s="1539"/>
      <c r="G74" s="1539"/>
      <c r="H74" s="1539"/>
      <c r="I74" s="1348">
        <f t="shared" si="31"/>
        <v>1600000</v>
      </c>
      <c r="J74" s="1348">
        <f t="shared" si="39"/>
        <v>1259843</v>
      </c>
      <c r="K74" s="1347">
        <f>SUM(J74)*0.27-1</f>
        <v>340157</v>
      </c>
      <c r="L74" s="1137">
        <v>1600000</v>
      </c>
      <c r="M74" s="1137"/>
      <c r="N74" s="1347"/>
      <c r="O74" s="1349">
        <f t="shared" si="32"/>
        <v>0</v>
      </c>
      <c r="P74" s="1552"/>
      <c r="Q74" s="1252"/>
      <c r="R74" s="1252"/>
      <c r="S74" s="1350">
        <f t="shared" si="33"/>
        <v>1600000</v>
      </c>
      <c r="T74" s="451">
        <f t="shared" si="40"/>
        <v>1259843</v>
      </c>
      <c r="U74" s="660">
        <f>SUM(T74)*0.27-1</f>
        <v>340157</v>
      </c>
      <c r="V74" s="451">
        <f t="shared" si="34"/>
        <v>1600000</v>
      </c>
      <c r="W74" s="451">
        <f t="shared" si="35"/>
        <v>0</v>
      </c>
      <c r="X74" s="660">
        <f t="shared" si="36"/>
        <v>0</v>
      </c>
      <c r="Y74" s="1696">
        <f t="shared" si="37"/>
        <v>532946</v>
      </c>
      <c r="Z74" s="1679">
        <v>419643</v>
      </c>
      <c r="AA74" s="1680">
        <v>113303</v>
      </c>
      <c r="AB74" s="451">
        <v>532946</v>
      </c>
      <c r="AC74" s="1137"/>
      <c r="AD74" s="1550"/>
    </row>
    <row r="75" spans="1:30" s="293" customFormat="1" ht="14.25" customHeight="1">
      <c r="A75" s="1549"/>
      <c r="B75" s="1236" t="s">
        <v>1148</v>
      </c>
      <c r="C75" s="1538">
        <v>0</v>
      </c>
      <c r="D75" s="1539">
        <v>0</v>
      </c>
      <c r="E75" s="1540">
        <v>0</v>
      </c>
      <c r="F75" s="1539"/>
      <c r="G75" s="1539"/>
      <c r="H75" s="1539"/>
      <c r="I75" s="1348">
        <f t="shared" si="31"/>
        <v>150000</v>
      </c>
      <c r="J75" s="1348">
        <f t="shared" si="39"/>
        <v>118110</v>
      </c>
      <c r="K75" s="1347">
        <f>SUM(J75)*0.27</f>
        <v>31890</v>
      </c>
      <c r="L75" s="1137">
        <v>150000</v>
      </c>
      <c r="M75" s="1137"/>
      <c r="N75" s="1347"/>
      <c r="O75" s="1349">
        <f t="shared" si="32"/>
        <v>0</v>
      </c>
      <c r="P75" s="1552"/>
      <c r="Q75" s="1252"/>
      <c r="R75" s="1252"/>
      <c r="S75" s="1350">
        <f t="shared" si="33"/>
        <v>150000</v>
      </c>
      <c r="T75" s="451">
        <f t="shared" si="40"/>
        <v>118110</v>
      </c>
      <c r="U75" s="660">
        <f>SUM(T75)*0.27</f>
        <v>31890</v>
      </c>
      <c r="V75" s="451">
        <f t="shared" si="34"/>
        <v>150000</v>
      </c>
      <c r="W75" s="451">
        <f t="shared" si="35"/>
        <v>0</v>
      </c>
      <c r="X75" s="660">
        <f t="shared" si="36"/>
        <v>0</v>
      </c>
      <c r="Y75" s="1696">
        <f t="shared" si="37"/>
        <v>150000</v>
      </c>
      <c r="Z75" s="1679">
        <v>118110</v>
      </c>
      <c r="AA75" s="1680">
        <f t="shared" si="38"/>
        <v>31890</v>
      </c>
      <c r="AB75" s="451">
        <v>150000</v>
      </c>
      <c r="AC75" s="1137"/>
      <c r="AD75" s="1550"/>
    </row>
    <row r="76" spans="1:30" s="293" customFormat="1" ht="14.25" customHeight="1">
      <c r="A76" s="1549"/>
      <c r="B76" s="1236" t="s">
        <v>1149</v>
      </c>
      <c r="C76" s="1538">
        <v>0</v>
      </c>
      <c r="D76" s="1539">
        <v>0</v>
      </c>
      <c r="E76" s="1540">
        <v>0</v>
      </c>
      <c r="F76" s="1539"/>
      <c r="G76" s="1539"/>
      <c r="H76" s="1539"/>
      <c r="I76" s="1348">
        <f t="shared" si="31"/>
        <v>375000</v>
      </c>
      <c r="J76" s="1348">
        <f t="shared" si="39"/>
        <v>295276</v>
      </c>
      <c r="K76" s="1347">
        <f>SUM(J76)*0.27-1</f>
        <v>79724</v>
      </c>
      <c r="L76" s="1137">
        <v>375000</v>
      </c>
      <c r="M76" s="1137"/>
      <c r="N76" s="1347"/>
      <c r="O76" s="1349">
        <f t="shared" si="32"/>
        <v>0</v>
      </c>
      <c r="P76" s="1552"/>
      <c r="Q76" s="1252"/>
      <c r="R76" s="1252"/>
      <c r="S76" s="1350">
        <f t="shared" si="33"/>
        <v>375000</v>
      </c>
      <c r="T76" s="451">
        <f t="shared" si="40"/>
        <v>295276</v>
      </c>
      <c r="U76" s="660">
        <f>SUM(T76)*0.27-1</f>
        <v>79724</v>
      </c>
      <c r="V76" s="451">
        <f t="shared" si="34"/>
        <v>375000</v>
      </c>
      <c r="W76" s="451">
        <f t="shared" si="35"/>
        <v>0</v>
      </c>
      <c r="X76" s="660">
        <f t="shared" si="36"/>
        <v>0</v>
      </c>
      <c r="Y76" s="1696">
        <f t="shared" si="37"/>
        <v>274999</v>
      </c>
      <c r="Z76" s="1679">
        <v>216535</v>
      </c>
      <c r="AA76" s="1680">
        <f t="shared" si="38"/>
        <v>58464</v>
      </c>
      <c r="AB76" s="451">
        <v>274999</v>
      </c>
      <c r="AC76" s="1137"/>
      <c r="AD76" s="1550"/>
    </row>
    <row r="77" spans="1:30" s="293" customFormat="1" ht="14.25" customHeight="1">
      <c r="A77" s="1549"/>
      <c r="B77" s="1236" t="s">
        <v>1150</v>
      </c>
      <c r="C77" s="1538">
        <v>0</v>
      </c>
      <c r="D77" s="1539">
        <v>0</v>
      </c>
      <c r="E77" s="1540">
        <v>0</v>
      </c>
      <c r="F77" s="1539"/>
      <c r="G77" s="1539"/>
      <c r="H77" s="1539"/>
      <c r="I77" s="1348">
        <f t="shared" si="31"/>
        <v>280000</v>
      </c>
      <c r="J77" s="1348">
        <f t="shared" si="39"/>
        <v>220472</v>
      </c>
      <c r="K77" s="1347">
        <f>SUM(J77)*0.27+1</f>
        <v>59528</v>
      </c>
      <c r="L77" s="1137">
        <v>280000</v>
      </c>
      <c r="M77" s="1137"/>
      <c r="N77" s="1347"/>
      <c r="O77" s="1349">
        <f t="shared" si="32"/>
        <v>0</v>
      </c>
      <c r="P77" s="1552"/>
      <c r="Q77" s="1252"/>
      <c r="R77" s="1252"/>
      <c r="S77" s="1350">
        <f t="shared" si="33"/>
        <v>280000</v>
      </c>
      <c r="T77" s="451">
        <f t="shared" si="40"/>
        <v>220472</v>
      </c>
      <c r="U77" s="660">
        <f>SUM(T77)*0.27+1</f>
        <v>59528</v>
      </c>
      <c r="V77" s="451">
        <f t="shared" si="34"/>
        <v>280000</v>
      </c>
      <c r="W77" s="451">
        <f t="shared" si="35"/>
        <v>0</v>
      </c>
      <c r="X77" s="660">
        <f t="shared" si="36"/>
        <v>0</v>
      </c>
      <c r="Y77" s="1696">
        <f t="shared" si="37"/>
        <v>279999</v>
      </c>
      <c r="Z77" s="1679">
        <v>220472</v>
      </c>
      <c r="AA77" s="1680">
        <f t="shared" si="38"/>
        <v>59527</v>
      </c>
      <c r="AB77" s="451">
        <v>279999</v>
      </c>
      <c r="AC77" s="1137"/>
      <c r="AD77" s="1550"/>
    </row>
    <row r="78" spans="1:30" s="293" customFormat="1" ht="14.25" customHeight="1">
      <c r="A78" s="1549"/>
      <c r="B78" s="1236" t="s">
        <v>1151</v>
      </c>
      <c r="C78" s="1538">
        <v>0</v>
      </c>
      <c r="D78" s="1539">
        <v>0</v>
      </c>
      <c r="E78" s="1540">
        <v>0</v>
      </c>
      <c r="F78" s="1539"/>
      <c r="G78" s="1539"/>
      <c r="H78" s="1539"/>
      <c r="I78" s="1348">
        <f t="shared" si="31"/>
        <v>244000</v>
      </c>
      <c r="J78" s="1348">
        <f t="shared" si="39"/>
        <v>192126</v>
      </c>
      <c r="K78" s="1347">
        <f>SUM(J78)*0.27</f>
        <v>51874</v>
      </c>
      <c r="L78" s="1137">
        <v>244000</v>
      </c>
      <c r="M78" s="1137"/>
      <c r="N78" s="1347"/>
      <c r="O78" s="1349">
        <f t="shared" si="32"/>
        <v>0</v>
      </c>
      <c r="P78" s="1552"/>
      <c r="Q78" s="1252"/>
      <c r="R78" s="1252"/>
      <c r="S78" s="1350">
        <f t="shared" si="33"/>
        <v>244000</v>
      </c>
      <c r="T78" s="451">
        <f t="shared" si="40"/>
        <v>192126</v>
      </c>
      <c r="U78" s="660">
        <f>SUM(T78)*0.27</f>
        <v>51874</v>
      </c>
      <c r="V78" s="451">
        <f t="shared" si="34"/>
        <v>244000</v>
      </c>
      <c r="W78" s="451">
        <f t="shared" si="35"/>
        <v>0</v>
      </c>
      <c r="X78" s="660">
        <f t="shared" si="36"/>
        <v>0</v>
      </c>
      <c r="Y78" s="1696">
        <f t="shared" si="37"/>
        <v>244000</v>
      </c>
      <c r="Z78" s="1679">
        <v>192126</v>
      </c>
      <c r="AA78" s="1680">
        <f t="shared" si="38"/>
        <v>51874</v>
      </c>
      <c r="AB78" s="451">
        <v>244000</v>
      </c>
      <c r="AC78" s="1137"/>
      <c r="AD78" s="1550"/>
    </row>
    <row r="79" spans="1:30" s="293" customFormat="1" ht="14.25" customHeight="1">
      <c r="A79" s="1549"/>
      <c r="B79" s="1236" t="s">
        <v>1152</v>
      </c>
      <c r="C79" s="1538">
        <v>0</v>
      </c>
      <c r="D79" s="1539">
        <v>0</v>
      </c>
      <c r="E79" s="1540">
        <v>0</v>
      </c>
      <c r="F79" s="1539"/>
      <c r="G79" s="1539"/>
      <c r="H79" s="1539"/>
      <c r="I79" s="1348">
        <f t="shared" si="31"/>
        <v>300000</v>
      </c>
      <c r="J79" s="1348">
        <f t="shared" si="39"/>
        <v>236220</v>
      </c>
      <c r="K79" s="1347">
        <f>SUM(J79)*0.27+1</f>
        <v>63780</v>
      </c>
      <c r="L79" s="1137">
        <v>300000</v>
      </c>
      <c r="M79" s="1137"/>
      <c r="N79" s="1347"/>
      <c r="O79" s="1349">
        <f t="shared" si="32"/>
        <v>0</v>
      </c>
      <c r="P79" s="1552"/>
      <c r="Q79" s="1252"/>
      <c r="R79" s="1252"/>
      <c r="S79" s="1350">
        <f t="shared" si="33"/>
        <v>300000</v>
      </c>
      <c r="T79" s="451">
        <f t="shared" si="40"/>
        <v>236220</v>
      </c>
      <c r="U79" s="660">
        <f>SUM(T79)*0.27+1</f>
        <v>63780</v>
      </c>
      <c r="V79" s="451">
        <f t="shared" si="34"/>
        <v>300000</v>
      </c>
      <c r="W79" s="451">
        <f t="shared" si="35"/>
        <v>0</v>
      </c>
      <c r="X79" s="660">
        <f t="shared" si="36"/>
        <v>0</v>
      </c>
      <c r="Y79" s="1696">
        <f t="shared" si="37"/>
        <v>299999</v>
      </c>
      <c r="Z79" s="1679">
        <v>236220</v>
      </c>
      <c r="AA79" s="1680">
        <f t="shared" si="38"/>
        <v>63779</v>
      </c>
      <c r="AB79" s="451">
        <v>299999</v>
      </c>
      <c r="AC79" s="1137"/>
      <c r="AD79" s="1550"/>
    </row>
    <row r="80" spans="1:30" s="293" customFormat="1" ht="14.25" customHeight="1">
      <c r="A80" s="1549"/>
      <c r="B80" s="1236" t="s">
        <v>1153</v>
      </c>
      <c r="C80" s="1538">
        <v>0</v>
      </c>
      <c r="D80" s="1539">
        <v>0</v>
      </c>
      <c r="E80" s="1540">
        <v>0</v>
      </c>
      <c r="F80" s="1539"/>
      <c r="G80" s="1539"/>
      <c r="H80" s="1539"/>
      <c r="I80" s="1348">
        <f t="shared" si="31"/>
        <v>140000</v>
      </c>
      <c r="J80" s="1348">
        <f t="shared" si="39"/>
        <v>110236</v>
      </c>
      <c r="K80" s="1347">
        <f t="shared" ref="K80:K85" si="41">SUM(J80)*0.27</f>
        <v>29764</v>
      </c>
      <c r="L80" s="1137">
        <v>140000</v>
      </c>
      <c r="M80" s="1137"/>
      <c r="N80" s="1347"/>
      <c r="O80" s="1349">
        <f t="shared" si="32"/>
        <v>0</v>
      </c>
      <c r="P80" s="1552"/>
      <c r="Q80" s="1252"/>
      <c r="R80" s="1252"/>
      <c r="S80" s="1350">
        <f t="shared" si="33"/>
        <v>140000</v>
      </c>
      <c r="T80" s="451">
        <f t="shared" si="40"/>
        <v>110236</v>
      </c>
      <c r="U80" s="660">
        <f t="shared" ref="U80:U87" si="42">SUM(T80)*0.27</f>
        <v>29764</v>
      </c>
      <c r="V80" s="451">
        <f t="shared" si="34"/>
        <v>140000</v>
      </c>
      <c r="W80" s="451">
        <f t="shared" si="35"/>
        <v>0</v>
      </c>
      <c r="X80" s="660">
        <f t="shared" si="36"/>
        <v>0</v>
      </c>
      <c r="Y80" s="1696">
        <f t="shared" si="37"/>
        <v>140000</v>
      </c>
      <c r="Z80" s="1679">
        <v>110236</v>
      </c>
      <c r="AA80" s="1680">
        <f t="shared" si="38"/>
        <v>29764</v>
      </c>
      <c r="AB80" s="451">
        <v>140000</v>
      </c>
      <c r="AC80" s="1137"/>
      <c r="AD80" s="1550"/>
    </row>
    <row r="81" spans="1:30" s="293" customFormat="1" ht="14.25" customHeight="1">
      <c r="A81" s="1549"/>
      <c r="B81" s="1236" t="s">
        <v>1154</v>
      </c>
      <c r="C81" s="1538">
        <v>0</v>
      </c>
      <c r="D81" s="1539">
        <v>0</v>
      </c>
      <c r="E81" s="1540">
        <v>0</v>
      </c>
      <c r="F81" s="1539"/>
      <c r="G81" s="1539"/>
      <c r="H81" s="1539"/>
      <c r="I81" s="1348">
        <f t="shared" si="31"/>
        <v>60000</v>
      </c>
      <c r="J81" s="1348">
        <f t="shared" si="39"/>
        <v>47244</v>
      </c>
      <c r="K81" s="1347">
        <f t="shared" si="41"/>
        <v>12756</v>
      </c>
      <c r="L81" s="1137">
        <v>60000</v>
      </c>
      <c r="M81" s="1137"/>
      <c r="N81" s="1347"/>
      <c r="O81" s="1349">
        <f t="shared" si="32"/>
        <v>0</v>
      </c>
      <c r="P81" s="1552"/>
      <c r="Q81" s="1252"/>
      <c r="R81" s="1252"/>
      <c r="S81" s="1350">
        <f t="shared" si="33"/>
        <v>60000</v>
      </c>
      <c r="T81" s="451">
        <f t="shared" si="40"/>
        <v>47244</v>
      </c>
      <c r="U81" s="660">
        <f t="shared" si="42"/>
        <v>12756</v>
      </c>
      <c r="V81" s="451">
        <f t="shared" si="34"/>
        <v>60000</v>
      </c>
      <c r="W81" s="451">
        <f t="shared" si="35"/>
        <v>0</v>
      </c>
      <c r="X81" s="660">
        <f t="shared" si="36"/>
        <v>0</v>
      </c>
      <c r="Y81" s="1696">
        <f t="shared" si="37"/>
        <v>60000</v>
      </c>
      <c r="Z81" s="1679">
        <v>47244</v>
      </c>
      <c r="AA81" s="1680">
        <f t="shared" si="38"/>
        <v>12756</v>
      </c>
      <c r="AB81" s="451">
        <v>60000</v>
      </c>
      <c r="AC81" s="1137"/>
      <c r="AD81" s="1550"/>
    </row>
    <row r="82" spans="1:30" s="293" customFormat="1" ht="14.25" customHeight="1">
      <c r="A82" s="1549"/>
      <c r="B82" s="1236" t="s">
        <v>1155</v>
      </c>
      <c r="C82" s="1538">
        <v>0</v>
      </c>
      <c r="D82" s="1539">
        <v>0</v>
      </c>
      <c r="E82" s="1540">
        <v>0</v>
      </c>
      <c r="F82" s="1539"/>
      <c r="G82" s="1539"/>
      <c r="H82" s="1539"/>
      <c r="I82" s="1348">
        <f t="shared" si="31"/>
        <v>20000</v>
      </c>
      <c r="J82" s="1348">
        <f t="shared" si="39"/>
        <v>15748</v>
      </c>
      <c r="K82" s="1347">
        <f t="shared" si="41"/>
        <v>4252</v>
      </c>
      <c r="L82" s="1137">
        <v>20000</v>
      </c>
      <c r="M82" s="1137"/>
      <c r="N82" s="1347"/>
      <c r="O82" s="1349">
        <f t="shared" si="32"/>
        <v>0</v>
      </c>
      <c r="P82" s="1552"/>
      <c r="Q82" s="1252"/>
      <c r="R82" s="1252"/>
      <c r="S82" s="1350">
        <f t="shared" si="33"/>
        <v>20000</v>
      </c>
      <c r="T82" s="451">
        <f t="shared" si="40"/>
        <v>15748</v>
      </c>
      <c r="U82" s="660">
        <f t="shared" si="42"/>
        <v>4252</v>
      </c>
      <c r="V82" s="451">
        <f t="shared" si="34"/>
        <v>20000</v>
      </c>
      <c r="W82" s="451">
        <f t="shared" si="35"/>
        <v>0</v>
      </c>
      <c r="X82" s="660">
        <f t="shared" si="36"/>
        <v>0</v>
      </c>
      <c r="Y82" s="1696">
        <f t="shared" si="37"/>
        <v>20000</v>
      </c>
      <c r="Z82" s="1679">
        <v>15748</v>
      </c>
      <c r="AA82" s="1680">
        <f t="shared" si="38"/>
        <v>4252</v>
      </c>
      <c r="AB82" s="451">
        <v>20000</v>
      </c>
      <c r="AC82" s="1137"/>
      <c r="AD82" s="1550"/>
    </row>
    <row r="83" spans="1:30" s="293" customFormat="1" ht="27.75" customHeight="1">
      <c r="A83" s="1549"/>
      <c r="B83" s="1236" t="s">
        <v>1156</v>
      </c>
      <c r="C83" s="1538">
        <v>0</v>
      </c>
      <c r="D83" s="1539">
        <v>0</v>
      </c>
      <c r="E83" s="1540">
        <v>0</v>
      </c>
      <c r="F83" s="1539"/>
      <c r="G83" s="1539"/>
      <c r="H83" s="1539"/>
      <c r="I83" s="1348">
        <f t="shared" si="31"/>
        <v>0</v>
      </c>
      <c r="J83" s="1348">
        <f t="shared" si="39"/>
        <v>0</v>
      </c>
      <c r="K83" s="1347">
        <f t="shared" si="41"/>
        <v>0</v>
      </c>
      <c r="L83" s="1137"/>
      <c r="M83" s="1137"/>
      <c r="N83" s="1347">
        <v>0</v>
      </c>
      <c r="O83" s="1349">
        <f t="shared" si="32"/>
        <v>0</v>
      </c>
      <c r="P83" s="1252"/>
      <c r="Q83" s="1252"/>
      <c r="R83" s="1252"/>
      <c r="S83" s="1350">
        <f t="shared" si="33"/>
        <v>0</v>
      </c>
      <c r="T83" s="451">
        <f t="shared" si="40"/>
        <v>0</v>
      </c>
      <c r="U83" s="660">
        <f t="shared" si="42"/>
        <v>0</v>
      </c>
      <c r="V83" s="451">
        <f t="shared" si="34"/>
        <v>0</v>
      </c>
      <c r="W83" s="451">
        <f t="shared" si="35"/>
        <v>0</v>
      </c>
      <c r="X83" s="660">
        <f t="shared" si="36"/>
        <v>0</v>
      </c>
      <c r="Y83" s="1696">
        <f t="shared" si="37"/>
        <v>0</v>
      </c>
      <c r="Z83" s="1679">
        <v>0</v>
      </c>
      <c r="AA83" s="1680">
        <f t="shared" si="38"/>
        <v>0</v>
      </c>
      <c r="AB83" s="451">
        <v>0</v>
      </c>
      <c r="AC83" s="1137"/>
      <c r="AD83" s="1550"/>
    </row>
    <row r="84" spans="1:30" s="293" customFormat="1" ht="15">
      <c r="A84" s="1549"/>
      <c r="B84" s="1236" t="s">
        <v>1157</v>
      </c>
      <c r="C84" s="1538">
        <v>0</v>
      </c>
      <c r="D84" s="1539">
        <v>0</v>
      </c>
      <c r="E84" s="1540">
        <v>0</v>
      </c>
      <c r="F84" s="1539"/>
      <c r="G84" s="1539"/>
      <c r="H84" s="1539"/>
      <c r="I84" s="1348">
        <f t="shared" si="31"/>
        <v>0</v>
      </c>
      <c r="J84" s="1348">
        <f t="shared" si="39"/>
        <v>0</v>
      </c>
      <c r="K84" s="1347">
        <f t="shared" si="41"/>
        <v>0</v>
      </c>
      <c r="L84" s="1137"/>
      <c r="M84" s="1137"/>
      <c r="N84" s="1347">
        <v>0</v>
      </c>
      <c r="O84" s="1349">
        <f t="shared" si="32"/>
        <v>0</v>
      </c>
      <c r="P84" s="1252"/>
      <c r="Q84" s="1252"/>
      <c r="R84" s="1252"/>
      <c r="S84" s="1350">
        <f t="shared" si="33"/>
        <v>0</v>
      </c>
      <c r="T84" s="451">
        <f t="shared" si="40"/>
        <v>0</v>
      </c>
      <c r="U84" s="660">
        <f t="shared" si="42"/>
        <v>0</v>
      </c>
      <c r="V84" s="451">
        <f t="shared" si="34"/>
        <v>0</v>
      </c>
      <c r="W84" s="451">
        <f t="shared" si="35"/>
        <v>0</v>
      </c>
      <c r="X84" s="660">
        <f t="shared" si="36"/>
        <v>0</v>
      </c>
      <c r="Y84" s="1696"/>
      <c r="Z84" s="1679"/>
      <c r="AA84" s="1680"/>
      <c r="AB84" s="451"/>
      <c r="AC84" s="1137"/>
      <c r="AD84" s="1550"/>
    </row>
    <row r="85" spans="1:30" s="293" customFormat="1" ht="15" customHeight="1">
      <c r="A85" s="1511"/>
      <c r="B85" s="1236" t="s">
        <v>1158</v>
      </c>
      <c r="C85" s="1538">
        <v>0</v>
      </c>
      <c r="D85" s="1539">
        <v>0</v>
      </c>
      <c r="E85" s="1540">
        <v>0</v>
      </c>
      <c r="F85" s="1539"/>
      <c r="G85" s="1539"/>
      <c r="H85" s="1539"/>
      <c r="I85" s="1348">
        <f t="shared" si="31"/>
        <v>0</v>
      </c>
      <c r="J85" s="1348">
        <f t="shared" si="39"/>
        <v>0</v>
      </c>
      <c r="K85" s="1347">
        <f t="shared" si="41"/>
        <v>0</v>
      </c>
      <c r="L85" s="1137"/>
      <c r="M85" s="1137"/>
      <c r="N85" s="1347">
        <v>0</v>
      </c>
      <c r="O85" s="1349">
        <f t="shared" si="32"/>
        <v>0</v>
      </c>
      <c r="P85" s="1252"/>
      <c r="Q85" s="1252"/>
      <c r="R85" s="1252"/>
      <c r="S85" s="1350">
        <f t="shared" si="33"/>
        <v>0</v>
      </c>
      <c r="T85" s="451">
        <f t="shared" si="40"/>
        <v>0</v>
      </c>
      <c r="U85" s="660">
        <f t="shared" si="42"/>
        <v>0</v>
      </c>
      <c r="V85" s="451">
        <f t="shared" si="34"/>
        <v>0</v>
      </c>
      <c r="W85" s="451">
        <f t="shared" si="35"/>
        <v>0</v>
      </c>
      <c r="X85" s="660">
        <f t="shared" si="36"/>
        <v>0</v>
      </c>
      <c r="Y85" s="1696"/>
      <c r="Z85" s="1679"/>
      <c r="AA85" s="1680"/>
      <c r="AB85" s="451"/>
      <c r="AC85" s="1137"/>
      <c r="AD85" s="1550"/>
    </row>
    <row r="86" spans="1:30" s="293" customFormat="1" ht="15" hidden="1" customHeight="1">
      <c r="A86" s="1511"/>
      <c r="B86" s="1236"/>
      <c r="C86" s="1538">
        <v>0</v>
      </c>
      <c r="D86" s="1539">
        <v>0</v>
      </c>
      <c r="E86" s="1540">
        <v>0</v>
      </c>
      <c r="F86" s="1539"/>
      <c r="G86" s="1539"/>
      <c r="H86" s="1539"/>
      <c r="I86" s="1348"/>
      <c r="J86" s="1348"/>
      <c r="K86" s="1347"/>
      <c r="L86" s="1137"/>
      <c r="M86" s="1137"/>
      <c r="N86" s="1347"/>
      <c r="O86" s="1349"/>
      <c r="P86" s="1252"/>
      <c r="Q86" s="1252"/>
      <c r="R86" s="1252"/>
      <c r="S86" s="1350">
        <f t="shared" si="33"/>
        <v>0</v>
      </c>
      <c r="T86" s="451">
        <f t="shared" si="40"/>
        <v>0</v>
      </c>
      <c r="U86" s="660">
        <f t="shared" si="42"/>
        <v>0</v>
      </c>
      <c r="V86" s="451"/>
      <c r="W86" s="451"/>
      <c r="X86" s="660"/>
      <c r="Y86" s="1696">
        <f t="shared" si="37"/>
        <v>0</v>
      </c>
      <c r="Z86" s="1693"/>
      <c r="AA86" s="1681"/>
      <c r="AB86" s="451">
        <v>0</v>
      </c>
      <c r="AC86" s="1137"/>
      <c r="AD86" s="1550"/>
    </row>
    <row r="87" spans="1:30" s="293" customFormat="1" ht="30">
      <c r="A87" s="1511"/>
      <c r="B87" s="1236" t="s">
        <v>1159</v>
      </c>
      <c r="C87" s="1538">
        <v>0</v>
      </c>
      <c r="D87" s="1539">
        <v>0</v>
      </c>
      <c r="E87" s="1540">
        <v>0</v>
      </c>
      <c r="F87" s="1539"/>
      <c r="G87" s="1539"/>
      <c r="H87" s="1539"/>
      <c r="I87" s="1348"/>
      <c r="J87" s="1348"/>
      <c r="K87" s="1347"/>
      <c r="L87" s="1137"/>
      <c r="M87" s="1137"/>
      <c r="N87" s="1347"/>
      <c r="O87" s="1349"/>
      <c r="P87" s="1252"/>
      <c r="Q87" s="1252"/>
      <c r="R87" s="1252"/>
      <c r="S87" s="1350">
        <f t="shared" si="33"/>
        <v>1800000</v>
      </c>
      <c r="T87" s="451">
        <f t="shared" si="40"/>
        <v>1417323</v>
      </c>
      <c r="U87" s="660">
        <f t="shared" si="42"/>
        <v>382677</v>
      </c>
      <c r="V87" s="451">
        <v>0</v>
      </c>
      <c r="W87" s="451">
        <v>0</v>
      </c>
      <c r="X87" s="660">
        <v>1800000</v>
      </c>
      <c r="Y87" s="1696">
        <f t="shared" si="37"/>
        <v>0</v>
      </c>
      <c r="Z87" s="1693">
        <v>0</v>
      </c>
      <c r="AA87" s="1681">
        <v>0</v>
      </c>
      <c r="AB87" s="451">
        <v>0</v>
      </c>
      <c r="AC87" s="1137"/>
      <c r="AD87" s="1550"/>
    </row>
    <row r="88" spans="1:30" s="293" customFormat="1" ht="30">
      <c r="A88" s="1511"/>
      <c r="B88" s="746" t="s">
        <v>1156</v>
      </c>
      <c r="C88" s="1538">
        <v>0</v>
      </c>
      <c r="D88" s="1539">
        <v>0</v>
      </c>
      <c r="E88" s="1540">
        <v>0</v>
      </c>
      <c r="F88" s="1539"/>
      <c r="G88" s="1539"/>
      <c r="H88" s="1539"/>
      <c r="I88" s="1348"/>
      <c r="J88" s="1348"/>
      <c r="K88" s="1347"/>
      <c r="L88" s="1137"/>
      <c r="M88" s="1137"/>
      <c r="N88" s="1347"/>
      <c r="O88" s="1349"/>
      <c r="P88" s="1252"/>
      <c r="Q88" s="1252"/>
      <c r="R88" s="1252"/>
      <c r="S88" s="1350">
        <f t="shared" si="33"/>
        <v>1717000</v>
      </c>
      <c r="T88" s="451">
        <f t="shared" si="40"/>
        <v>1351969</v>
      </c>
      <c r="U88" s="660">
        <f>SUM(T88)*0.27-1</f>
        <v>365031</v>
      </c>
      <c r="V88" s="451">
        <v>0</v>
      </c>
      <c r="W88" s="451">
        <v>0</v>
      </c>
      <c r="X88" s="660">
        <v>1717000</v>
      </c>
      <c r="Y88" s="1696">
        <f>+Z88+AA88</f>
        <v>1717000</v>
      </c>
      <c r="Z88" s="1679">
        <v>1351969</v>
      </c>
      <c r="AA88" s="1680">
        <v>365031</v>
      </c>
      <c r="AB88" s="451">
        <v>1717000</v>
      </c>
      <c r="AC88" s="1137"/>
      <c r="AD88" s="1550"/>
    </row>
    <row r="89" spans="1:30" s="293" customFormat="1" ht="31.5" customHeight="1">
      <c r="A89" s="1549"/>
      <c r="B89" s="746" t="s">
        <v>1160</v>
      </c>
      <c r="C89" s="1538">
        <v>0</v>
      </c>
      <c r="D89" s="1539">
        <v>0</v>
      </c>
      <c r="E89" s="1540">
        <v>0</v>
      </c>
      <c r="F89" s="1539"/>
      <c r="G89" s="1539"/>
      <c r="H89" s="1539"/>
      <c r="I89" s="1348"/>
      <c r="J89" s="1348"/>
      <c r="K89" s="1347"/>
      <c r="L89" s="1137"/>
      <c r="M89" s="1137"/>
      <c r="N89" s="1347"/>
      <c r="O89" s="1372"/>
      <c r="P89" s="451"/>
      <c r="Q89" s="451"/>
      <c r="R89" s="451"/>
      <c r="S89" s="1350">
        <f t="shared" si="33"/>
        <v>500000</v>
      </c>
      <c r="T89" s="451">
        <f t="shared" si="40"/>
        <v>393701</v>
      </c>
      <c r="U89" s="660">
        <f>SUM(T89)*0.27</f>
        <v>106299</v>
      </c>
      <c r="V89" s="451">
        <v>500000</v>
      </c>
      <c r="W89" s="451">
        <v>0</v>
      </c>
      <c r="X89" s="660"/>
      <c r="Y89" s="1696">
        <f>+Z89+AA89</f>
        <v>500000</v>
      </c>
      <c r="Z89" s="1679">
        <v>393701</v>
      </c>
      <c r="AA89" s="1680">
        <f>Z89*27%</f>
        <v>106299</v>
      </c>
      <c r="AB89" s="451">
        <v>500000</v>
      </c>
      <c r="AC89" s="1137"/>
      <c r="AD89" s="1550"/>
    </row>
    <row r="90" spans="1:30" s="293" customFormat="1" ht="17.25" customHeight="1">
      <c r="A90" s="1532" t="s">
        <v>394</v>
      </c>
      <c r="B90" s="1533"/>
      <c r="C90" s="1534">
        <f t="shared" ref="C90:R90" si="43">SUM(C91:C93)</f>
        <v>963000</v>
      </c>
      <c r="D90" s="1535">
        <f t="shared" si="43"/>
        <v>758000</v>
      </c>
      <c r="E90" s="1536">
        <f t="shared" si="43"/>
        <v>205000</v>
      </c>
      <c r="F90" s="1535">
        <f t="shared" si="43"/>
        <v>963000</v>
      </c>
      <c r="G90" s="1535">
        <f t="shared" si="43"/>
        <v>0</v>
      </c>
      <c r="H90" s="1535">
        <f t="shared" si="43"/>
        <v>0</v>
      </c>
      <c r="I90" s="1334">
        <f t="shared" si="43"/>
        <v>5408000</v>
      </c>
      <c r="J90" s="1334">
        <f t="shared" si="43"/>
        <v>4258000</v>
      </c>
      <c r="K90" s="1333">
        <f t="shared" si="43"/>
        <v>1150000</v>
      </c>
      <c r="L90" s="1335">
        <f t="shared" si="43"/>
        <v>5408000</v>
      </c>
      <c r="M90" s="1335">
        <f t="shared" si="43"/>
        <v>0</v>
      </c>
      <c r="N90" s="1333">
        <f t="shared" si="43"/>
        <v>0</v>
      </c>
      <c r="O90" s="1336">
        <f t="shared" si="43"/>
        <v>0</v>
      </c>
      <c r="P90" s="1337">
        <f t="shared" si="43"/>
        <v>0</v>
      </c>
      <c r="Q90" s="1337">
        <f t="shared" si="43"/>
        <v>0</v>
      </c>
      <c r="R90" s="1337">
        <f t="shared" si="43"/>
        <v>0</v>
      </c>
      <c r="S90" s="1338">
        <f>SUM(S91:S94)</f>
        <v>10533764</v>
      </c>
      <c r="T90" s="1341">
        <f>SUM(T91:T94)</f>
        <v>8294034</v>
      </c>
      <c r="U90" s="1340">
        <f>SUM(U91:U94)</f>
        <v>2239729</v>
      </c>
      <c r="V90" s="1341">
        <f>SUM(V91:V94)</f>
        <v>4226024</v>
      </c>
      <c r="W90" s="1341">
        <f>SUM(W91:W93)</f>
        <v>0</v>
      </c>
      <c r="X90" s="1340">
        <f>SUM(X91:X93)</f>
        <v>0</v>
      </c>
      <c r="Y90" s="1342">
        <f>SUM(Y91:Y94)</f>
        <v>3982715</v>
      </c>
      <c r="Z90" s="1341">
        <f>SUM(Z91:Z94)</f>
        <v>3135996</v>
      </c>
      <c r="AA90" s="1342">
        <f>SUM(AA91:AA94)</f>
        <v>846719</v>
      </c>
      <c r="AB90" s="1341">
        <f>SUM(AB91:AB94)</f>
        <v>3982715</v>
      </c>
      <c r="AC90" s="1335">
        <f>SUM(AC91:AC93)</f>
        <v>0</v>
      </c>
      <c r="AD90" s="1333">
        <f>SUM(AD91:AD93)</f>
        <v>0</v>
      </c>
    </row>
    <row r="91" spans="1:30" s="293" customFormat="1" ht="15" customHeight="1">
      <c r="A91" s="1549"/>
      <c r="B91" s="1537" t="s">
        <v>1091</v>
      </c>
      <c r="C91" s="1538">
        <v>546000</v>
      </c>
      <c r="D91" s="1539">
        <v>430000</v>
      </c>
      <c r="E91" s="1540">
        <v>116000</v>
      </c>
      <c r="F91" s="1539">
        <v>546000</v>
      </c>
      <c r="G91" s="1539">
        <v>0</v>
      </c>
      <c r="H91" s="1539">
        <v>0</v>
      </c>
      <c r="I91" s="1348">
        <f>SUM(L91:N91)</f>
        <v>546000</v>
      </c>
      <c r="J91" s="1348">
        <v>430000</v>
      </c>
      <c r="K91" s="1347">
        <v>116000</v>
      </c>
      <c r="L91" s="1137">
        <v>546000</v>
      </c>
      <c r="M91" s="1137">
        <v>0</v>
      </c>
      <c r="N91" s="1347">
        <v>0</v>
      </c>
      <c r="O91" s="1349">
        <f>SUM(P91:R91)</f>
        <v>0</v>
      </c>
      <c r="P91" s="1252"/>
      <c r="Q91" s="1252"/>
      <c r="R91" s="1252"/>
      <c r="S91" s="1350">
        <f>SUM(V91:Z91)</f>
        <v>1362746</v>
      </c>
      <c r="T91" s="451">
        <f>SUM(S91)/1.27+79</f>
        <v>1073107</v>
      </c>
      <c r="U91" s="660">
        <f>SUM(T91)*0.27-100</f>
        <v>289639</v>
      </c>
      <c r="V91" s="451">
        <f>SUM(L91+P91)</f>
        <v>546000</v>
      </c>
      <c r="W91" s="451">
        <f>SUM(M91+Q91)</f>
        <v>0</v>
      </c>
      <c r="X91" s="660">
        <f>SUM(N91+R91)</f>
        <v>0</v>
      </c>
      <c r="Y91" s="1352">
        <v>456946</v>
      </c>
      <c r="Z91" s="1137">
        <v>359800</v>
      </c>
      <c r="AA91" s="1347">
        <v>97146</v>
      </c>
      <c r="AB91" s="1137">
        <v>456946</v>
      </c>
      <c r="AC91" s="1137"/>
      <c r="AD91" s="1347"/>
    </row>
    <row r="92" spans="1:30" s="293" customFormat="1" ht="15" customHeight="1">
      <c r="A92" s="1549"/>
      <c r="B92" s="1537" t="s">
        <v>1161</v>
      </c>
      <c r="C92" s="1538">
        <v>417000</v>
      </c>
      <c r="D92" s="1539">
        <v>328000</v>
      </c>
      <c r="E92" s="1540">
        <v>89000</v>
      </c>
      <c r="F92" s="1539">
        <v>417000</v>
      </c>
      <c r="G92" s="1539">
        <v>0</v>
      </c>
      <c r="H92" s="1539">
        <v>0</v>
      </c>
      <c r="I92" s="1348">
        <f>SUM(L92:N92)</f>
        <v>417000</v>
      </c>
      <c r="J92" s="1348">
        <v>328000</v>
      </c>
      <c r="K92" s="1347">
        <v>89000</v>
      </c>
      <c r="L92" s="1137">
        <v>417000</v>
      </c>
      <c r="M92" s="1137">
        <v>0</v>
      </c>
      <c r="N92" s="1347">
        <v>0</v>
      </c>
      <c r="O92" s="1349">
        <f>SUM(P92:R92)</f>
        <v>0</v>
      </c>
      <c r="P92" s="1252"/>
      <c r="Q92" s="1252"/>
      <c r="R92" s="1252"/>
      <c r="S92" s="1350">
        <f>SUM(V92:X92)</f>
        <v>607970</v>
      </c>
      <c r="T92" s="451">
        <f>SUM(S92)/1.27-347</f>
        <v>478370</v>
      </c>
      <c r="U92" s="660">
        <f>SUM(T92)*0.27+440</f>
        <v>129600</v>
      </c>
      <c r="V92" s="451">
        <v>607970</v>
      </c>
      <c r="W92" s="451">
        <f>SUM(M92+Q92)</f>
        <v>0</v>
      </c>
      <c r="X92" s="660">
        <f>SUM(N92+R92)</f>
        <v>0</v>
      </c>
      <c r="Y92" s="1352">
        <v>453715</v>
      </c>
      <c r="Z92" s="1137">
        <v>357256</v>
      </c>
      <c r="AA92" s="1347">
        <v>96459</v>
      </c>
      <c r="AB92" s="1137">
        <v>453715</v>
      </c>
      <c r="AC92" s="1137"/>
      <c r="AD92" s="1347"/>
    </row>
    <row r="93" spans="1:30" s="293" customFormat="1" ht="15" customHeight="1">
      <c r="A93" s="1511"/>
      <c r="B93" s="1537" t="s">
        <v>1112</v>
      </c>
      <c r="C93" s="1538">
        <v>0</v>
      </c>
      <c r="D93" s="1539">
        <v>0</v>
      </c>
      <c r="E93" s="1540">
        <v>0</v>
      </c>
      <c r="F93" s="1539">
        <v>0</v>
      </c>
      <c r="G93" s="1539">
        <v>0</v>
      </c>
      <c r="H93" s="1539">
        <v>0</v>
      </c>
      <c r="I93" s="1348">
        <f>SUM(L93:N93)</f>
        <v>4445000</v>
      </c>
      <c r="J93" s="1348">
        <f>SUM(I93)/1.27</f>
        <v>3500000</v>
      </c>
      <c r="K93" s="1347">
        <f>SUM(J93)*0.27</f>
        <v>945000</v>
      </c>
      <c r="L93" s="1137">
        <v>4445000</v>
      </c>
      <c r="M93" s="1137">
        <v>0</v>
      </c>
      <c r="N93" s="1347">
        <v>0</v>
      </c>
      <c r="O93" s="1349">
        <f>SUM(P93:R93)</f>
        <v>0</v>
      </c>
      <c r="P93" s="1252"/>
      <c r="Q93" s="1252"/>
      <c r="R93" s="1252"/>
      <c r="S93" s="1350">
        <f>SUM(V93:Z93)</f>
        <v>8491044</v>
      </c>
      <c r="T93" s="451">
        <f>SUM(S93)/1.27</f>
        <v>6685861</v>
      </c>
      <c r="U93" s="660">
        <f>SUM(T93)*0.27</f>
        <v>1805182</v>
      </c>
      <c r="V93" s="451">
        <v>3046222</v>
      </c>
      <c r="W93" s="451">
        <f>SUM(M93+Q93)</f>
        <v>0</v>
      </c>
      <c r="X93" s="660">
        <f>SUM(N93+R93)</f>
        <v>0</v>
      </c>
      <c r="Y93" s="1352">
        <v>3046222</v>
      </c>
      <c r="Z93" s="1137">
        <v>2398600</v>
      </c>
      <c r="AA93" s="1347">
        <v>647622</v>
      </c>
      <c r="AB93" s="1137">
        <v>3046222</v>
      </c>
      <c r="AC93" s="1137"/>
      <c r="AD93" s="1347"/>
    </row>
    <row r="94" spans="1:30" s="293" customFormat="1" ht="15" customHeight="1">
      <c r="A94" s="1511"/>
      <c r="B94" s="1369" t="s">
        <v>1162</v>
      </c>
      <c r="C94" s="1538"/>
      <c r="D94" s="1539"/>
      <c r="E94" s="1540"/>
      <c r="F94" s="1539"/>
      <c r="G94" s="1539"/>
      <c r="H94" s="1539"/>
      <c r="I94" s="1348"/>
      <c r="J94" s="1348"/>
      <c r="K94" s="1347"/>
      <c r="L94" s="1137"/>
      <c r="M94" s="1137"/>
      <c r="N94" s="1347"/>
      <c r="O94" s="1349"/>
      <c r="P94" s="1252"/>
      <c r="Q94" s="1252"/>
      <c r="R94" s="1252"/>
      <c r="S94" s="1350">
        <f>SUM(V94:Z94)</f>
        <v>72004</v>
      </c>
      <c r="T94" s="451">
        <f>SUM(S94)/1.27</f>
        <v>56696</v>
      </c>
      <c r="U94" s="660">
        <f>SUM(T94)*0.27</f>
        <v>15308</v>
      </c>
      <c r="V94" s="451">
        <v>25832</v>
      </c>
      <c r="W94" s="451"/>
      <c r="X94" s="660"/>
      <c r="Y94" s="1352">
        <v>25832</v>
      </c>
      <c r="Z94" s="1137">
        <v>20340</v>
      </c>
      <c r="AA94" s="1347">
        <v>5492</v>
      </c>
      <c r="AB94" s="1137">
        <v>25832</v>
      </c>
      <c r="AC94" s="1137"/>
      <c r="AD94" s="1347"/>
    </row>
    <row r="95" spans="1:30" s="293" customFormat="1" ht="12" customHeight="1">
      <c r="A95" s="1553"/>
      <c r="B95" s="1537"/>
      <c r="C95" s="1538"/>
      <c r="D95" s="1539"/>
      <c r="E95" s="1540"/>
      <c r="F95" s="1539"/>
      <c r="G95" s="1539"/>
      <c r="H95" s="1539"/>
      <c r="I95" s="1348"/>
      <c r="J95" s="1348"/>
      <c r="K95" s="1347"/>
      <c r="L95" s="1137"/>
      <c r="M95" s="1137"/>
      <c r="N95" s="1347"/>
      <c r="O95" s="1372"/>
      <c r="P95" s="451"/>
      <c r="Q95" s="451"/>
      <c r="R95" s="451"/>
      <c r="S95" s="1350"/>
      <c r="T95" s="451"/>
      <c r="U95" s="660"/>
      <c r="V95" s="451"/>
      <c r="W95" s="451"/>
      <c r="X95" s="660"/>
      <c r="Y95" s="1352"/>
      <c r="Z95" s="1137"/>
      <c r="AA95" s="1347"/>
      <c r="AB95" s="1137"/>
      <c r="AC95" s="1137"/>
      <c r="AD95" s="1347"/>
    </row>
    <row r="96" spans="1:30" s="293" customFormat="1" ht="14.25" customHeight="1">
      <c r="A96" s="1532" t="s">
        <v>295</v>
      </c>
      <c r="B96" s="1533"/>
      <c r="C96" s="1534">
        <f t="shared" ref="C96:R96" si="44">SUM(C97:C102)</f>
        <v>1102000</v>
      </c>
      <c r="D96" s="1535">
        <f t="shared" si="44"/>
        <v>868000</v>
      </c>
      <c r="E96" s="1536">
        <f t="shared" si="44"/>
        <v>234000</v>
      </c>
      <c r="F96" s="1535">
        <f t="shared" si="44"/>
        <v>1102000</v>
      </c>
      <c r="G96" s="1535">
        <f t="shared" si="44"/>
        <v>0</v>
      </c>
      <c r="H96" s="1535">
        <f t="shared" si="44"/>
        <v>0</v>
      </c>
      <c r="I96" s="1334">
        <f t="shared" si="44"/>
        <v>21346995</v>
      </c>
      <c r="J96" s="1334">
        <f t="shared" si="44"/>
        <v>16808941</v>
      </c>
      <c r="K96" s="1333">
        <f t="shared" si="44"/>
        <v>4538054</v>
      </c>
      <c r="L96" s="1335">
        <f t="shared" si="44"/>
        <v>21346995</v>
      </c>
      <c r="M96" s="1335">
        <f t="shared" si="44"/>
        <v>0</v>
      </c>
      <c r="N96" s="1333">
        <f t="shared" si="44"/>
        <v>0</v>
      </c>
      <c r="O96" s="1336">
        <f t="shared" si="44"/>
        <v>0</v>
      </c>
      <c r="P96" s="1337">
        <f t="shared" si="44"/>
        <v>0</v>
      </c>
      <c r="Q96" s="1337">
        <f t="shared" si="44"/>
        <v>0</v>
      </c>
      <c r="R96" s="1337">
        <f t="shared" si="44"/>
        <v>0</v>
      </c>
      <c r="S96" s="1338">
        <f>SUM(S97:S103)</f>
        <v>53184612</v>
      </c>
      <c r="T96" s="1341">
        <f>SUM(T97:T103)</f>
        <v>41965778</v>
      </c>
      <c r="U96" s="1340">
        <f>SUM(U97:U103)</f>
        <v>11218833</v>
      </c>
      <c r="V96" s="1341">
        <f>SUM(V97:V103)</f>
        <v>23069096</v>
      </c>
      <c r="W96" s="1341">
        <f>SUM(W97:W102)</f>
        <v>0</v>
      </c>
      <c r="X96" s="1340">
        <f>SUM(X97:X102)</f>
        <v>0</v>
      </c>
      <c r="Y96" s="1342">
        <f t="shared" ref="Y96:AD96" si="45">SUM(Y97:Y104)</f>
        <v>20160102</v>
      </c>
      <c r="Z96" s="1335">
        <f t="shared" si="45"/>
        <v>15965874</v>
      </c>
      <c r="AA96" s="1333">
        <f t="shared" si="45"/>
        <v>4194228</v>
      </c>
      <c r="AB96" s="1335">
        <f t="shared" si="45"/>
        <v>20160102</v>
      </c>
      <c r="AC96" s="1335">
        <f t="shared" si="45"/>
        <v>0</v>
      </c>
      <c r="AD96" s="1333">
        <f t="shared" si="45"/>
        <v>0</v>
      </c>
    </row>
    <row r="97" spans="1:30" s="293" customFormat="1" ht="14.25" customHeight="1">
      <c r="A97" s="1549"/>
      <c r="B97" s="1537" t="s">
        <v>1161</v>
      </c>
      <c r="C97" s="1538">
        <v>556000</v>
      </c>
      <c r="D97" s="1539">
        <v>438000</v>
      </c>
      <c r="E97" s="1540">
        <v>118000</v>
      </c>
      <c r="F97" s="1539">
        <v>556000</v>
      </c>
      <c r="G97" s="1539">
        <v>0</v>
      </c>
      <c r="H97" s="1539">
        <v>0</v>
      </c>
      <c r="I97" s="1348">
        <f t="shared" ref="I97:I102" si="46">SUM(L97:N97)</f>
        <v>556000</v>
      </c>
      <c r="J97" s="1348">
        <v>438000</v>
      </c>
      <c r="K97" s="1347">
        <v>118000</v>
      </c>
      <c r="L97" s="1137">
        <v>556000</v>
      </c>
      <c r="M97" s="1137">
        <v>0</v>
      </c>
      <c r="N97" s="1347">
        <v>0</v>
      </c>
      <c r="O97" s="1349">
        <f t="shared" ref="O97:O102" si="47">SUM(P97:R97)</f>
        <v>0</v>
      </c>
      <c r="P97" s="1252"/>
      <c r="Q97" s="1252"/>
      <c r="R97" s="1252"/>
      <c r="S97" s="1350">
        <f>SUM(V97:X97)</f>
        <v>1257511</v>
      </c>
      <c r="T97" s="451">
        <v>1078219</v>
      </c>
      <c r="U97" s="660">
        <v>179292</v>
      </c>
      <c r="V97" s="451">
        <v>1257511</v>
      </c>
      <c r="W97" s="451">
        <f t="shared" ref="W97:X102" si="48">SUM(M97+Q97)</f>
        <v>0</v>
      </c>
      <c r="X97" s="660">
        <f t="shared" si="48"/>
        <v>0</v>
      </c>
      <c r="Y97" s="1352">
        <v>1158800</v>
      </c>
      <c r="Z97" s="1137">
        <v>1004219</v>
      </c>
      <c r="AA97" s="1347">
        <v>154581</v>
      </c>
      <c r="AB97" s="1137">
        <f t="shared" ref="AB97:AB103" si="49">SUM(Z97:AA97)</f>
        <v>1158800</v>
      </c>
      <c r="AC97" s="1137"/>
      <c r="AD97" s="1347"/>
    </row>
    <row r="98" spans="1:30" s="293" customFormat="1" ht="14.25" customHeight="1">
      <c r="A98" s="1549"/>
      <c r="B98" s="1537" t="s">
        <v>1091</v>
      </c>
      <c r="C98" s="1538">
        <v>546000</v>
      </c>
      <c r="D98" s="1539">
        <v>430000</v>
      </c>
      <c r="E98" s="1540">
        <v>116000</v>
      </c>
      <c r="F98" s="1539">
        <v>546000</v>
      </c>
      <c r="G98" s="1539">
        <v>0</v>
      </c>
      <c r="H98" s="1539">
        <v>0</v>
      </c>
      <c r="I98" s="1348">
        <f t="shared" si="46"/>
        <v>546000</v>
      </c>
      <c r="J98" s="1348">
        <v>430000</v>
      </c>
      <c r="K98" s="1347">
        <v>116000</v>
      </c>
      <c r="L98" s="1137">
        <v>546000</v>
      </c>
      <c r="M98" s="1137">
        <v>0</v>
      </c>
      <c r="N98" s="1347">
        <v>0</v>
      </c>
      <c r="O98" s="1349">
        <f t="shared" si="47"/>
        <v>0</v>
      </c>
      <c r="P98" s="1252"/>
      <c r="Q98" s="1252"/>
      <c r="R98" s="1252"/>
      <c r="S98" s="1350">
        <f>SUM(V98:X98)</f>
        <v>546000</v>
      </c>
      <c r="T98" s="451">
        <v>430000</v>
      </c>
      <c r="U98" s="660">
        <v>116000</v>
      </c>
      <c r="V98" s="451">
        <f>SUM(L98+P98)</f>
        <v>546000</v>
      </c>
      <c r="W98" s="451">
        <f t="shared" si="48"/>
        <v>0</v>
      </c>
      <c r="X98" s="660">
        <f t="shared" si="48"/>
        <v>0</v>
      </c>
      <c r="Y98" s="1352">
        <v>456946</v>
      </c>
      <c r="Z98" s="1137">
        <v>359800</v>
      </c>
      <c r="AA98" s="1347">
        <v>97146</v>
      </c>
      <c r="AB98" s="1137">
        <f t="shared" si="49"/>
        <v>456946</v>
      </c>
      <c r="AC98" s="1137"/>
      <c r="AD98" s="1347"/>
    </row>
    <row r="99" spans="1:30" s="293" customFormat="1" ht="14.25" customHeight="1">
      <c r="A99" s="1549"/>
      <c r="B99" s="1537" t="s">
        <v>1163</v>
      </c>
      <c r="C99" s="1538">
        <v>0</v>
      </c>
      <c r="D99" s="1539">
        <v>0</v>
      </c>
      <c r="E99" s="1540">
        <v>0</v>
      </c>
      <c r="F99" s="1539"/>
      <c r="G99" s="1539"/>
      <c r="H99" s="1539"/>
      <c r="I99" s="1348">
        <f t="shared" si="46"/>
        <v>1695587</v>
      </c>
      <c r="J99" s="1348">
        <f>SUM(I99)/1.27</f>
        <v>1335108</v>
      </c>
      <c r="K99" s="1347">
        <f>SUM(J99)*0.27</f>
        <v>360479</v>
      </c>
      <c r="L99" s="1137">
        <v>1695587</v>
      </c>
      <c r="M99" s="1137"/>
      <c r="N99" s="1347"/>
      <c r="O99" s="1349">
        <f t="shared" si="47"/>
        <v>0</v>
      </c>
      <c r="P99" s="1252"/>
      <c r="Q99" s="1252"/>
      <c r="R99" s="1252"/>
      <c r="S99" s="1350">
        <f>SUM(V99:X99)</f>
        <v>1695587</v>
      </c>
      <c r="T99" s="451">
        <f>SUM(S99)/1.27</f>
        <v>1335108</v>
      </c>
      <c r="U99" s="660">
        <f>SUM(T99)*0.27</f>
        <v>360479</v>
      </c>
      <c r="V99" s="451">
        <f>SUM(L99+P99)</f>
        <v>1695587</v>
      </c>
      <c r="W99" s="451">
        <f t="shared" si="48"/>
        <v>0</v>
      </c>
      <c r="X99" s="660">
        <f t="shared" si="48"/>
        <v>0</v>
      </c>
      <c r="Y99" s="1352">
        <v>1695587</v>
      </c>
      <c r="Z99" s="1137">
        <v>1335108</v>
      </c>
      <c r="AA99" s="1347">
        <v>360479</v>
      </c>
      <c r="AB99" s="1137">
        <f t="shared" si="49"/>
        <v>1695587</v>
      </c>
      <c r="AC99" s="1137"/>
      <c r="AD99" s="1347"/>
    </row>
    <row r="100" spans="1:30" s="293" customFormat="1" ht="14.25" customHeight="1">
      <c r="A100" s="1549"/>
      <c r="B100" s="1537" t="s">
        <v>1112</v>
      </c>
      <c r="C100" s="1538">
        <v>0</v>
      </c>
      <c r="D100" s="1539">
        <v>0</v>
      </c>
      <c r="E100" s="1540">
        <v>0</v>
      </c>
      <c r="F100" s="1539"/>
      <c r="G100" s="1539"/>
      <c r="H100" s="1539"/>
      <c r="I100" s="1348">
        <f t="shared" si="46"/>
        <v>4445000</v>
      </c>
      <c r="J100" s="1348">
        <f>SUM(I100)/1.27</f>
        <v>3500000</v>
      </c>
      <c r="K100" s="1347">
        <f>SUM(J100)*0.27</f>
        <v>945000</v>
      </c>
      <c r="L100" s="1137">
        <v>4445000</v>
      </c>
      <c r="M100" s="1137"/>
      <c r="N100" s="1347"/>
      <c r="O100" s="1349">
        <f t="shared" si="47"/>
        <v>0</v>
      </c>
      <c r="P100" s="1252"/>
      <c r="Q100" s="1252"/>
      <c r="R100" s="1252"/>
      <c r="S100" s="1350">
        <f>SUM(V100:Z100)</f>
        <v>7526071</v>
      </c>
      <c r="T100" s="451">
        <f>SUM(S100)/1.27</f>
        <v>5926040</v>
      </c>
      <c r="U100" s="660">
        <f>SUM(T100)*0.27</f>
        <v>1600031</v>
      </c>
      <c r="V100" s="451">
        <f>SUM(L100+P100)</f>
        <v>4445000</v>
      </c>
      <c r="W100" s="451">
        <f t="shared" si="48"/>
        <v>0</v>
      </c>
      <c r="X100" s="660">
        <f t="shared" si="48"/>
        <v>0</v>
      </c>
      <c r="Y100" s="1352">
        <v>1723771</v>
      </c>
      <c r="Z100" s="1137">
        <v>1357300</v>
      </c>
      <c r="AA100" s="1347">
        <v>366471</v>
      </c>
      <c r="AB100" s="1137">
        <f t="shared" si="49"/>
        <v>1723771</v>
      </c>
      <c r="AC100" s="1137"/>
      <c r="AD100" s="1347"/>
    </row>
    <row r="101" spans="1:30" s="293" customFormat="1" ht="16.5" customHeight="1">
      <c r="A101" s="1549"/>
      <c r="B101" s="1537" t="s">
        <v>1164</v>
      </c>
      <c r="C101" s="1538">
        <v>0</v>
      </c>
      <c r="D101" s="1539">
        <v>0</v>
      </c>
      <c r="E101" s="1540">
        <v>0</v>
      </c>
      <c r="F101" s="1539"/>
      <c r="G101" s="1539"/>
      <c r="H101" s="1539"/>
      <c r="I101" s="1348">
        <f t="shared" si="46"/>
        <v>4020773</v>
      </c>
      <c r="J101" s="1348">
        <f>SUM(I101)/1.27</f>
        <v>3165963</v>
      </c>
      <c r="K101" s="1347">
        <f>SUM(J101)*0.27</f>
        <v>854810</v>
      </c>
      <c r="L101" s="1137">
        <v>4020773</v>
      </c>
      <c r="M101" s="1137"/>
      <c r="N101" s="1347"/>
      <c r="O101" s="1349">
        <f t="shared" si="47"/>
        <v>0</v>
      </c>
      <c r="P101" s="1252"/>
      <c r="Q101" s="1252"/>
      <c r="R101" s="1252"/>
      <c r="S101" s="1350">
        <f>SUM(V101:Z101)</f>
        <v>10915696</v>
      </c>
      <c r="T101" s="451">
        <f>SUM(S101)/1.27</f>
        <v>8595036</v>
      </c>
      <c r="U101" s="660">
        <f>SUM(T101)*0.27</f>
        <v>2320660</v>
      </c>
      <c r="V101" s="451">
        <v>3916083</v>
      </c>
      <c r="W101" s="451">
        <f t="shared" si="48"/>
        <v>0</v>
      </c>
      <c r="X101" s="660">
        <f t="shared" si="48"/>
        <v>0</v>
      </c>
      <c r="Y101" s="1352">
        <v>3916083</v>
      </c>
      <c r="Z101" s="1137">
        <v>3083530</v>
      </c>
      <c r="AA101" s="1347">
        <v>832553</v>
      </c>
      <c r="AB101" s="1137">
        <f t="shared" si="49"/>
        <v>3916083</v>
      </c>
      <c r="AC101" s="1137"/>
      <c r="AD101" s="1347"/>
    </row>
    <row r="102" spans="1:30" s="293" customFormat="1" ht="15" customHeight="1">
      <c r="A102" s="1555"/>
      <c r="B102" s="1537" t="s">
        <v>1165</v>
      </c>
      <c r="C102" s="1538">
        <v>0</v>
      </c>
      <c r="D102" s="1539">
        <v>0</v>
      </c>
      <c r="E102" s="1540">
        <v>0</v>
      </c>
      <c r="F102" s="1539">
        <v>0</v>
      </c>
      <c r="G102" s="1539">
        <v>0</v>
      </c>
      <c r="H102" s="1539">
        <v>0</v>
      </c>
      <c r="I102" s="1348">
        <f t="shared" si="46"/>
        <v>10083635</v>
      </c>
      <c r="J102" s="1348">
        <f>SUM(I102)/1.27</f>
        <v>7939870</v>
      </c>
      <c r="K102" s="1347">
        <f>SUM(J102)*0.27</f>
        <v>2143765</v>
      </c>
      <c r="L102" s="1137">
        <v>10083635</v>
      </c>
      <c r="M102" s="1137">
        <v>0</v>
      </c>
      <c r="N102" s="1347">
        <v>0</v>
      </c>
      <c r="O102" s="1349">
        <f t="shared" si="47"/>
        <v>0</v>
      </c>
      <c r="P102" s="1252"/>
      <c r="Q102" s="1252"/>
      <c r="R102" s="1252"/>
      <c r="S102" s="1350">
        <f>SUM(V102:Z102)</f>
        <v>27985177</v>
      </c>
      <c r="T102" s="451">
        <f>SUM(S102)/1.27</f>
        <v>22035572</v>
      </c>
      <c r="U102" s="660">
        <f>SUM(T102)*0.27</f>
        <v>5949604</v>
      </c>
      <c r="V102" s="451">
        <v>10039880</v>
      </c>
      <c r="W102" s="451">
        <f t="shared" si="48"/>
        <v>0</v>
      </c>
      <c r="X102" s="660">
        <f t="shared" si="48"/>
        <v>0</v>
      </c>
      <c r="Y102" s="1352">
        <v>10039880</v>
      </c>
      <c r="Z102" s="451">
        <v>7905417</v>
      </c>
      <c r="AA102" s="1347">
        <v>2134463</v>
      </c>
      <c r="AB102" s="1137">
        <f t="shared" si="49"/>
        <v>10039880</v>
      </c>
      <c r="AC102" s="1137"/>
      <c r="AD102" s="1347"/>
    </row>
    <row r="103" spans="1:30" s="293" customFormat="1" ht="15" customHeight="1">
      <c r="A103" s="1555"/>
      <c r="B103" s="1369" t="s">
        <v>1166</v>
      </c>
      <c r="C103" s="1538"/>
      <c r="D103" s="1539"/>
      <c r="E103" s="1540"/>
      <c r="F103" s="1539"/>
      <c r="G103" s="1539"/>
      <c r="H103" s="1539"/>
      <c r="I103" s="1348"/>
      <c r="J103" s="1348"/>
      <c r="K103" s="1347"/>
      <c r="L103" s="1137"/>
      <c r="M103" s="1137"/>
      <c r="N103" s="1347"/>
      <c r="O103" s="1349"/>
      <c r="P103" s="1252"/>
      <c r="Q103" s="1252"/>
      <c r="R103" s="1252"/>
      <c r="S103" s="1350">
        <f>SUM(V103:Z103)</f>
        <v>3258570</v>
      </c>
      <c r="T103" s="451">
        <f>SUM(S103)/1.27</f>
        <v>2565803</v>
      </c>
      <c r="U103" s="660">
        <f>SUM(T103)*0.27</f>
        <v>692767</v>
      </c>
      <c r="V103" s="451">
        <v>1169035</v>
      </c>
      <c r="W103" s="451"/>
      <c r="X103" s="660"/>
      <c r="Y103" s="1352">
        <v>1169035</v>
      </c>
      <c r="Z103" s="451">
        <v>920500</v>
      </c>
      <c r="AA103" s="1347">
        <v>248535</v>
      </c>
      <c r="AB103" s="1137">
        <f t="shared" si="49"/>
        <v>1169035</v>
      </c>
      <c r="AC103" s="1137"/>
      <c r="AD103" s="1347"/>
    </row>
    <row r="104" spans="1:30" s="293" customFormat="1" ht="12.75" customHeight="1">
      <c r="A104" s="1549"/>
      <c r="B104" s="1537"/>
      <c r="C104" s="1538"/>
      <c r="D104" s="1539"/>
      <c r="E104" s="1540"/>
      <c r="F104" s="1539"/>
      <c r="G104" s="1539"/>
      <c r="H104" s="1539"/>
      <c r="I104" s="1348"/>
      <c r="J104" s="1348"/>
      <c r="K104" s="1347"/>
      <c r="L104" s="1137"/>
      <c r="M104" s="1137"/>
      <c r="N104" s="1347"/>
      <c r="O104" s="1372"/>
      <c r="P104" s="451"/>
      <c r="Q104" s="451"/>
      <c r="R104" s="451"/>
      <c r="S104" s="1350"/>
      <c r="T104" s="451"/>
      <c r="U104" s="660"/>
      <c r="V104" s="451"/>
      <c r="W104" s="451"/>
      <c r="X104" s="660"/>
      <c r="Y104" s="1352"/>
      <c r="Z104" s="1137"/>
      <c r="AA104" s="1347"/>
      <c r="AB104" s="1137"/>
      <c r="AC104" s="1137"/>
      <c r="AD104" s="1347"/>
    </row>
    <row r="105" spans="1:30" s="293" customFormat="1" ht="14.25" customHeight="1">
      <c r="A105" s="1532" t="s">
        <v>296</v>
      </c>
      <c r="B105" s="1533"/>
      <c r="C105" s="1534">
        <f t="shared" ref="C105:R105" si="50">SUM(C106:C110)</f>
        <v>11443000</v>
      </c>
      <c r="D105" s="1535">
        <f t="shared" si="50"/>
        <v>9010000</v>
      </c>
      <c r="E105" s="1536">
        <f t="shared" si="50"/>
        <v>2433000</v>
      </c>
      <c r="F105" s="1535">
        <f t="shared" si="50"/>
        <v>11443000</v>
      </c>
      <c r="G105" s="1535">
        <f t="shared" si="50"/>
        <v>0</v>
      </c>
      <c r="H105" s="1535">
        <f t="shared" si="50"/>
        <v>0</v>
      </c>
      <c r="I105" s="1334">
        <f t="shared" si="50"/>
        <v>31991600</v>
      </c>
      <c r="J105" s="1334">
        <f t="shared" si="50"/>
        <v>25190000</v>
      </c>
      <c r="K105" s="1333">
        <f t="shared" si="50"/>
        <v>6801600</v>
      </c>
      <c r="L105" s="1335">
        <f t="shared" si="50"/>
        <v>31991600</v>
      </c>
      <c r="M105" s="1335">
        <f t="shared" si="50"/>
        <v>0</v>
      </c>
      <c r="N105" s="1333">
        <f t="shared" si="50"/>
        <v>0</v>
      </c>
      <c r="O105" s="1336">
        <f t="shared" si="50"/>
        <v>0</v>
      </c>
      <c r="P105" s="1337">
        <f t="shared" si="50"/>
        <v>0</v>
      </c>
      <c r="Q105" s="1337">
        <f t="shared" si="50"/>
        <v>0</v>
      </c>
      <c r="R105" s="1337">
        <f t="shared" si="50"/>
        <v>0</v>
      </c>
      <c r="S105" s="1338">
        <f>SUM(S106:S111)</f>
        <v>80162311</v>
      </c>
      <c r="T105" s="1341">
        <f>SUM(T106:T111)</f>
        <v>44041434</v>
      </c>
      <c r="U105" s="1340">
        <f>SUM(U106:U111)</f>
        <v>11891686</v>
      </c>
      <c r="V105" s="1341">
        <f>SUM(V106:V111)</f>
        <v>33289552</v>
      </c>
      <c r="W105" s="1341">
        <f>SUM(W106:W110)</f>
        <v>0</v>
      </c>
      <c r="X105" s="1340">
        <f>SUM(X106:X110)</f>
        <v>0</v>
      </c>
      <c r="Y105" s="1342">
        <f t="shared" ref="Y105:AD105" si="51">SUM(Y106:Y111)</f>
        <v>31929695</v>
      </c>
      <c r="Z105" s="1335">
        <f t="shared" si="51"/>
        <v>25141493</v>
      </c>
      <c r="AA105" s="1333">
        <f t="shared" si="51"/>
        <v>6788202</v>
      </c>
      <c r="AB105" s="1335">
        <f t="shared" si="51"/>
        <v>31929695</v>
      </c>
      <c r="AC105" s="1335">
        <f t="shared" si="51"/>
        <v>0</v>
      </c>
      <c r="AD105" s="1333">
        <f t="shared" si="51"/>
        <v>0</v>
      </c>
    </row>
    <row r="106" spans="1:30" s="293" customFormat="1" ht="14.25" customHeight="1">
      <c r="A106" s="1549"/>
      <c r="B106" s="1537" t="s">
        <v>1161</v>
      </c>
      <c r="C106" s="1538">
        <v>584000</v>
      </c>
      <c r="D106" s="1539">
        <v>460000</v>
      </c>
      <c r="E106" s="1540">
        <v>124000</v>
      </c>
      <c r="F106" s="1539">
        <v>584000</v>
      </c>
      <c r="G106" s="1539">
        <v>0</v>
      </c>
      <c r="H106" s="1539">
        <v>0</v>
      </c>
      <c r="I106" s="1348">
        <f>SUM(L106:N106)</f>
        <v>584000</v>
      </c>
      <c r="J106" s="1348">
        <v>460000</v>
      </c>
      <c r="K106" s="1347">
        <v>124000</v>
      </c>
      <c r="L106" s="1137">
        <v>584000</v>
      </c>
      <c r="M106" s="1137">
        <v>0</v>
      </c>
      <c r="N106" s="1347">
        <v>0</v>
      </c>
      <c r="O106" s="1349">
        <f>SUM(P106:R106)</f>
        <v>0</v>
      </c>
      <c r="P106" s="1252"/>
      <c r="Q106" s="1252"/>
      <c r="R106" s="1252"/>
      <c r="S106" s="1350">
        <f>SUM(V106:Z106)</f>
        <v>1705757</v>
      </c>
      <c r="T106" s="451">
        <v>481853</v>
      </c>
      <c r="U106" s="660">
        <v>130099</v>
      </c>
      <c r="V106" s="451">
        <v>611952</v>
      </c>
      <c r="W106" s="451">
        <f t="shared" ref="W106:X110" si="52">SUM(M106+Q106)</f>
        <v>0</v>
      </c>
      <c r="X106" s="660">
        <f t="shared" si="52"/>
        <v>0</v>
      </c>
      <c r="Y106" s="1352">
        <v>611952</v>
      </c>
      <c r="Z106" s="1137">
        <v>481853</v>
      </c>
      <c r="AA106" s="1347">
        <v>130099</v>
      </c>
      <c r="AB106" s="1137">
        <f t="shared" ref="AB106:AB111" si="53">SUM(Z106:AA106)</f>
        <v>611952</v>
      </c>
      <c r="AC106" s="1137"/>
      <c r="AD106" s="1347"/>
    </row>
    <row r="107" spans="1:30" s="293" customFormat="1" ht="14.25" customHeight="1">
      <c r="A107" s="1549"/>
      <c r="B107" s="1537" t="s">
        <v>1091</v>
      </c>
      <c r="C107" s="1538">
        <v>546000</v>
      </c>
      <c r="D107" s="1539">
        <v>430000</v>
      </c>
      <c r="E107" s="1540">
        <v>116000</v>
      </c>
      <c r="F107" s="1539">
        <v>546000</v>
      </c>
      <c r="G107" s="1539">
        <v>0</v>
      </c>
      <c r="H107" s="1539">
        <v>0</v>
      </c>
      <c r="I107" s="1348">
        <f>SUM(L107:N107)</f>
        <v>546000</v>
      </c>
      <c r="J107" s="1348">
        <v>430000</v>
      </c>
      <c r="K107" s="1347">
        <v>116000</v>
      </c>
      <c r="L107" s="1137">
        <v>546000</v>
      </c>
      <c r="M107" s="1137">
        <v>0</v>
      </c>
      <c r="N107" s="1347">
        <v>0</v>
      </c>
      <c r="O107" s="1349">
        <f>SUM(P107:R107)</f>
        <v>0</v>
      </c>
      <c r="P107" s="1252"/>
      <c r="Q107" s="1252"/>
      <c r="R107" s="1252"/>
      <c r="S107" s="1350">
        <f>SUM(V107:X107)</f>
        <v>546000</v>
      </c>
      <c r="T107" s="451">
        <v>430000</v>
      </c>
      <c r="U107" s="660">
        <v>116000</v>
      </c>
      <c r="V107" s="451">
        <v>546000</v>
      </c>
      <c r="W107" s="451">
        <f t="shared" si="52"/>
        <v>0</v>
      </c>
      <c r="X107" s="660">
        <f t="shared" si="52"/>
        <v>0</v>
      </c>
      <c r="Y107" s="1352">
        <v>456946</v>
      </c>
      <c r="Z107" s="1137">
        <v>359800</v>
      </c>
      <c r="AA107" s="1347">
        <v>97146</v>
      </c>
      <c r="AB107" s="1137">
        <f t="shared" si="53"/>
        <v>456946</v>
      </c>
      <c r="AC107" s="1137"/>
      <c r="AD107" s="1347"/>
    </row>
    <row r="108" spans="1:30" s="293" customFormat="1" ht="28.5" customHeight="1">
      <c r="A108" s="1549"/>
      <c r="B108" s="1537" t="s">
        <v>1167</v>
      </c>
      <c r="C108" s="1538">
        <v>10313000</v>
      </c>
      <c r="D108" s="1539">
        <v>8120000</v>
      </c>
      <c r="E108" s="1540">
        <v>2193000</v>
      </c>
      <c r="F108" s="1539">
        <v>10313000</v>
      </c>
      <c r="G108" s="1539">
        <v>0</v>
      </c>
      <c r="H108" s="1539">
        <v>0</v>
      </c>
      <c r="I108" s="1348">
        <f>SUM(L108:N108)</f>
        <v>10313000</v>
      </c>
      <c r="J108" s="1348">
        <v>8120000</v>
      </c>
      <c r="K108" s="1347">
        <v>2193000</v>
      </c>
      <c r="L108" s="1137">
        <v>10313000</v>
      </c>
      <c r="M108" s="1137">
        <v>0</v>
      </c>
      <c r="N108" s="1347">
        <v>0</v>
      </c>
      <c r="O108" s="1349">
        <f>SUM(P108:R108)</f>
        <v>0</v>
      </c>
      <c r="P108" s="1252"/>
      <c r="Q108" s="1252"/>
      <c r="R108" s="1252"/>
      <c r="S108" s="1350">
        <f>SUM(V108:X108)</f>
        <v>5248783</v>
      </c>
      <c r="T108" s="451">
        <v>4132900</v>
      </c>
      <c r="U108" s="660">
        <v>1115883</v>
      </c>
      <c r="V108" s="451">
        <v>5248783</v>
      </c>
      <c r="W108" s="451">
        <f t="shared" si="52"/>
        <v>0</v>
      </c>
      <c r="X108" s="660">
        <f t="shared" si="52"/>
        <v>0</v>
      </c>
      <c r="Y108" s="1352">
        <v>5248783</v>
      </c>
      <c r="Z108" s="1137">
        <v>4132900</v>
      </c>
      <c r="AA108" s="1347">
        <v>1115883</v>
      </c>
      <c r="AB108" s="1137">
        <f t="shared" si="53"/>
        <v>5248783</v>
      </c>
      <c r="AC108" s="1137"/>
      <c r="AD108" s="1347"/>
    </row>
    <row r="109" spans="1:30" s="293" customFormat="1" ht="14.25" customHeight="1">
      <c r="A109" s="1549"/>
      <c r="B109" s="1537" t="s">
        <v>1112</v>
      </c>
      <c r="C109" s="1538">
        <v>0</v>
      </c>
      <c r="D109" s="1539">
        <v>0</v>
      </c>
      <c r="E109" s="1540">
        <v>0</v>
      </c>
      <c r="F109" s="1539"/>
      <c r="G109" s="1539">
        <v>0</v>
      </c>
      <c r="H109" s="1539">
        <v>0</v>
      </c>
      <c r="I109" s="1348">
        <f>SUM(L109:N109)</f>
        <v>19532600</v>
      </c>
      <c r="J109" s="1348">
        <f>SUM(I109)/1.27</f>
        <v>15380000</v>
      </c>
      <c r="K109" s="1347">
        <f>SUM(J109)*0.27</f>
        <v>4152600</v>
      </c>
      <c r="L109" s="1137">
        <v>19532600</v>
      </c>
      <c r="M109" s="1137">
        <v>0</v>
      </c>
      <c r="N109" s="1347">
        <v>0</v>
      </c>
      <c r="O109" s="1349">
        <f>SUM(P109:R109)</f>
        <v>0</v>
      </c>
      <c r="P109" s="1252"/>
      <c r="Q109" s="1252"/>
      <c r="R109" s="1252"/>
      <c r="S109" s="1350">
        <f>SUM(V109:Z109)</f>
        <v>36079775</v>
      </c>
      <c r="T109" s="451">
        <v>10191960</v>
      </c>
      <c r="U109" s="660">
        <v>2752429</v>
      </c>
      <c r="V109" s="451">
        <v>12944389</v>
      </c>
      <c r="W109" s="451">
        <f t="shared" si="52"/>
        <v>0</v>
      </c>
      <c r="X109" s="660">
        <f t="shared" si="52"/>
        <v>0</v>
      </c>
      <c r="Y109" s="1352">
        <v>12943586</v>
      </c>
      <c r="Z109" s="1137">
        <v>10191800</v>
      </c>
      <c r="AA109" s="1347">
        <v>2751786</v>
      </c>
      <c r="AB109" s="1137">
        <f t="shared" si="53"/>
        <v>12943586</v>
      </c>
      <c r="AC109" s="1137"/>
      <c r="AD109" s="1347"/>
    </row>
    <row r="110" spans="1:30" s="293" customFormat="1" ht="14.25" customHeight="1">
      <c r="A110" s="1549"/>
      <c r="B110" s="293" t="s">
        <v>1168</v>
      </c>
      <c r="C110" s="1538">
        <v>0</v>
      </c>
      <c r="D110" s="1539">
        <v>0</v>
      </c>
      <c r="E110" s="1540">
        <v>0</v>
      </c>
      <c r="F110" s="1539">
        <v>0</v>
      </c>
      <c r="G110" s="1539">
        <v>0</v>
      </c>
      <c r="H110" s="1539">
        <v>0</v>
      </c>
      <c r="I110" s="1348">
        <f>SUM(L110:N110)</f>
        <v>1016000</v>
      </c>
      <c r="J110" s="1348">
        <f>SUM(I110)/1.27</f>
        <v>800000</v>
      </c>
      <c r="K110" s="1347">
        <f>SUM(J110)*0.27</f>
        <v>216000</v>
      </c>
      <c r="L110" s="1137">
        <v>1016000</v>
      </c>
      <c r="M110" s="1137">
        <v>0</v>
      </c>
      <c r="N110" s="1347">
        <v>0</v>
      </c>
      <c r="O110" s="1349">
        <f>SUM(P110:R110)</f>
        <v>0</v>
      </c>
      <c r="P110" s="1252"/>
      <c r="Q110" s="1252"/>
      <c r="R110" s="1252"/>
      <c r="S110" s="1350">
        <f>SUM(V110:Z110)</f>
        <v>1270000</v>
      </c>
      <c r="T110" s="451">
        <f>SUM(S110)/1.27</f>
        <v>1000000</v>
      </c>
      <c r="U110" s="660">
        <f>SUM(T110)*0.27</f>
        <v>270000</v>
      </c>
      <c r="V110" s="451">
        <v>1270000</v>
      </c>
      <c r="W110" s="451">
        <f t="shared" si="52"/>
        <v>0</v>
      </c>
      <c r="X110" s="660">
        <f t="shared" si="52"/>
        <v>0</v>
      </c>
      <c r="Y110" s="1352">
        <v>0</v>
      </c>
      <c r="Z110" s="1137">
        <v>0</v>
      </c>
      <c r="AA110" s="1347">
        <v>0</v>
      </c>
      <c r="AB110" s="1137">
        <f t="shared" si="53"/>
        <v>0</v>
      </c>
      <c r="AC110" s="1137"/>
      <c r="AD110" s="1347"/>
    </row>
    <row r="111" spans="1:30" s="293" customFormat="1" ht="15">
      <c r="A111" s="1553"/>
      <c r="B111" s="1537" t="s">
        <v>1169</v>
      </c>
      <c r="C111" s="1538"/>
      <c r="D111" s="1539"/>
      <c r="E111" s="1540"/>
      <c r="F111" s="1539"/>
      <c r="G111" s="1539"/>
      <c r="H111" s="1539"/>
      <c r="I111" s="1348"/>
      <c r="J111" s="1348"/>
      <c r="K111" s="1347"/>
      <c r="L111" s="1137"/>
      <c r="M111" s="1137"/>
      <c r="N111" s="1347"/>
      <c r="O111" s="1372"/>
      <c r="P111" s="451"/>
      <c r="Q111" s="451"/>
      <c r="R111" s="451"/>
      <c r="S111" s="1350">
        <f>SUM(V111:Z111)</f>
        <v>35311996</v>
      </c>
      <c r="T111" s="451">
        <f>SUM(S111)/1.27</f>
        <v>27804721</v>
      </c>
      <c r="U111" s="660">
        <f>SUM(T111)*0.27</f>
        <v>7507275</v>
      </c>
      <c r="V111" s="451">
        <v>12668428</v>
      </c>
      <c r="W111" s="451"/>
      <c r="X111" s="660"/>
      <c r="Y111" s="1352">
        <v>12668428</v>
      </c>
      <c r="Z111" s="1137">
        <v>9975140</v>
      </c>
      <c r="AA111" s="1347">
        <v>2693288</v>
      </c>
      <c r="AB111" s="1137">
        <f t="shared" si="53"/>
        <v>12668428</v>
      </c>
      <c r="AC111" s="1137"/>
      <c r="AD111" s="1347"/>
    </row>
    <row r="112" spans="1:30" s="293" customFormat="1" ht="14.25" customHeight="1">
      <c r="A112" s="1532" t="s">
        <v>169</v>
      </c>
      <c r="B112" s="1533"/>
      <c r="C112" s="1534">
        <f t="shared" ref="C112:AD112" si="54">SUM(C113:C117)</f>
        <v>1645000</v>
      </c>
      <c r="D112" s="1535">
        <f t="shared" si="54"/>
        <v>1295000</v>
      </c>
      <c r="E112" s="1536">
        <f t="shared" si="54"/>
        <v>350000</v>
      </c>
      <c r="F112" s="1535">
        <f t="shared" si="54"/>
        <v>1645000</v>
      </c>
      <c r="G112" s="1535">
        <f t="shared" si="54"/>
        <v>0</v>
      </c>
      <c r="H112" s="1535">
        <f t="shared" si="54"/>
        <v>0</v>
      </c>
      <c r="I112" s="1334">
        <f t="shared" si="54"/>
        <v>4185000</v>
      </c>
      <c r="J112" s="1334">
        <f t="shared" si="54"/>
        <v>3295000</v>
      </c>
      <c r="K112" s="1333">
        <f t="shared" si="54"/>
        <v>890000</v>
      </c>
      <c r="L112" s="1335">
        <f t="shared" si="54"/>
        <v>4185000</v>
      </c>
      <c r="M112" s="1335">
        <f t="shared" si="54"/>
        <v>0</v>
      </c>
      <c r="N112" s="1333">
        <f t="shared" si="54"/>
        <v>0</v>
      </c>
      <c r="O112" s="1336">
        <f t="shared" si="54"/>
        <v>0</v>
      </c>
      <c r="P112" s="1337">
        <f t="shared" si="54"/>
        <v>0</v>
      </c>
      <c r="Q112" s="1337">
        <f t="shared" si="54"/>
        <v>0</v>
      </c>
      <c r="R112" s="1337">
        <f t="shared" si="54"/>
        <v>0</v>
      </c>
      <c r="S112" s="1338">
        <f t="shared" si="54"/>
        <v>12929175</v>
      </c>
      <c r="T112" s="1341">
        <f t="shared" si="54"/>
        <v>9109656</v>
      </c>
      <c r="U112" s="1340">
        <f t="shared" si="54"/>
        <v>2459459</v>
      </c>
      <c r="V112" s="1341">
        <f t="shared" si="54"/>
        <v>7740079</v>
      </c>
      <c r="W112" s="1341">
        <f t="shared" si="54"/>
        <v>0</v>
      </c>
      <c r="X112" s="1340">
        <f t="shared" si="54"/>
        <v>0</v>
      </c>
      <c r="Y112" s="1342">
        <f t="shared" si="54"/>
        <v>3926986</v>
      </c>
      <c r="Z112" s="1335">
        <f t="shared" si="54"/>
        <v>3092113</v>
      </c>
      <c r="AA112" s="1333">
        <f t="shared" si="54"/>
        <v>834873</v>
      </c>
      <c r="AB112" s="1335">
        <f t="shared" si="54"/>
        <v>3926986</v>
      </c>
      <c r="AC112" s="1335">
        <f t="shared" si="54"/>
        <v>0</v>
      </c>
      <c r="AD112" s="1333">
        <f t="shared" si="54"/>
        <v>0</v>
      </c>
    </row>
    <row r="113" spans="1:30" s="293" customFormat="1" ht="14.25" customHeight="1">
      <c r="A113" s="1549"/>
      <c r="B113" s="1537" t="s">
        <v>1091</v>
      </c>
      <c r="C113" s="1538">
        <v>819000</v>
      </c>
      <c r="D113" s="1539">
        <v>645000</v>
      </c>
      <c r="E113" s="1540">
        <v>174000</v>
      </c>
      <c r="F113" s="1539">
        <v>819000</v>
      </c>
      <c r="G113" s="1539">
        <v>0</v>
      </c>
      <c r="H113" s="1539">
        <v>0</v>
      </c>
      <c r="I113" s="1348">
        <f>SUM(L113:N113)</f>
        <v>819000</v>
      </c>
      <c r="J113" s="1348">
        <v>645000</v>
      </c>
      <c r="K113" s="1347">
        <v>174000</v>
      </c>
      <c r="L113" s="1137">
        <v>819000</v>
      </c>
      <c r="M113" s="1137">
        <v>0</v>
      </c>
      <c r="N113" s="1347">
        <v>0</v>
      </c>
      <c r="O113" s="1349">
        <f>SUM(P113:R113)</f>
        <v>0</v>
      </c>
      <c r="P113" s="1252"/>
      <c r="Q113" s="1252"/>
      <c r="R113" s="1252"/>
      <c r="S113" s="1350">
        <f>SUM(V113:Z113)</f>
        <v>2187060</v>
      </c>
      <c r="T113" s="451">
        <v>651299</v>
      </c>
      <c r="U113" s="660">
        <v>175701</v>
      </c>
      <c r="V113" s="451">
        <v>827000</v>
      </c>
      <c r="W113" s="451">
        <f>SUM(M113+Q113)</f>
        <v>0</v>
      </c>
      <c r="X113" s="660">
        <f>SUM(N113+R113)</f>
        <v>0</v>
      </c>
      <c r="Y113" s="1352">
        <v>760915</v>
      </c>
      <c r="Z113" s="1137">
        <v>599145</v>
      </c>
      <c r="AA113" s="1347">
        <v>161770</v>
      </c>
      <c r="AB113" s="1137">
        <f>SUM(Z113:AA113)</f>
        <v>760915</v>
      </c>
      <c r="AC113" s="1137"/>
      <c r="AD113" s="1347"/>
    </row>
    <row r="114" spans="1:30" s="293" customFormat="1" ht="14.25" customHeight="1">
      <c r="A114" s="1549"/>
      <c r="B114" s="1537" t="s">
        <v>1161</v>
      </c>
      <c r="C114" s="1538">
        <v>826000</v>
      </c>
      <c r="D114" s="1539">
        <v>650000</v>
      </c>
      <c r="E114" s="1540">
        <v>176000</v>
      </c>
      <c r="F114" s="1539">
        <v>826000</v>
      </c>
      <c r="G114" s="1539">
        <v>0</v>
      </c>
      <c r="H114" s="1539">
        <v>0</v>
      </c>
      <c r="I114" s="1348">
        <f>SUM(L114:N114)</f>
        <v>826000</v>
      </c>
      <c r="J114" s="1348">
        <v>650000</v>
      </c>
      <c r="K114" s="1347">
        <v>176000</v>
      </c>
      <c r="L114" s="1137">
        <v>826000</v>
      </c>
      <c r="M114" s="1137">
        <v>0</v>
      </c>
      <c r="N114" s="1347">
        <v>0</v>
      </c>
      <c r="O114" s="1349">
        <f>SUM(P114:R114)</f>
        <v>0</v>
      </c>
      <c r="P114" s="1252"/>
      <c r="Q114" s="1252"/>
      <c r="R114" s="1252"/>
      <c r="S114" s="1350">
        <f>SUM(V114:X114)</f>
        <v>1023835</v>
      </c>
      <c r="T114" s="451">
        <f>SUM(S114)/1.27-1</f>
        <v>806168</v>
      </c>
      <c r="U114" s="660">
        <f>SUM(T114)*0.27+2</f>
        <v>217667</v>
      </c>
      <c r="V114" s="451">
        <v>1023835</v>
      </c>
      <c r="W114" s="451">
        <f>SUM(M114+Q114)</f>
        <v>0</v>
      </c>
      <c r="X114" s="660">
        <f>SUM(N114+R114)</f>
        <v>0</v>
      </c>
      <c r="Y114" s="1352">
        <v>1023835</v>
      </c>
      <c r="Z114" s="1137">
        <v>806168</v>
      </c>
      <c r="AA114" s="1347">
        <v>217667</v>
      </c>
      <c r="AB114" s="1137">
        <f>SUM(Z114:AA114)</f>
        <v>1023835</v>
      </c>
      <c r="AC114" s="1137"/>
      <c r="AD114" s="1347"/>
    </row>
    <row r="115" spans="1:30" s="293" customFormat="1" ht="14.25" customHeight="1">
      <c r="A115" s="1549"/>
      <c r="B115" s="1542" t="s">
        <v>1170</v>
      </c>
      <c r="C115" s="1538"/>
      <c r="D115" s="1539"/>
      <c r="E115" s="1540"/>
      <c r="F115" s="1539"/>
      <c r="G115" s="1539"/>
      <c r="H115" s="1539"/>
      <c r="I115" s="1348"/>
      <c r="J115" s="1348"/>
      <c r="K115" s="1347"/>
      <c r="L115" s="1137"/>
      <c r="M115" s="1137"/>
      <c r="N115" s="1347"/>
      <c r="O115" s="1349"/>
      <c r="P115" s="1252"/>
      <c r="Q115" s="1252"/>
      <c r="R115" s="1252"/>
      <c r="S115" s="1350">
        <f>SUM(V115:Z115)</f>
        <v>1270508</v>
      </c>
      <c r="T115" s="451">
        <f>SUM(S115)/1.27</f>
        <v>1000400</v>
      </c>
      <c r="U115" s="660">
        <f>SUM(T115)*0.27</f>
        <v>270108</v>
      </c>
      <c r="V115" s="451">
        <v>1270508</v>
      </c>
      <c r="W115" s="451"/>
      <c r="X115" s="660"/>
      <c r="Y115" s="1352">
        <v>0</v>
      </c>
      <c r="Z115" s="1137">
        <v>0</v>
      </c>
      <c r="AA115" s="1347">
        <v>0</v>
      </c>
      <c r="AB115" s="1137">
        <f>SUM(Z115:AA115)</f>
        <v>0</v>
      </c>
      <c r="AC115" s="1137"/>
      <c r="AD115" s="1347"/>
    </row>
    <row r="116" spans="1:30" s="293" customFormat="1" ht="14.25" customHeight="1">
      <c r="A116" s="1549"/>
      <c r="B116" s="1542" t="s">
        <v>1171</v>
      </c>
      <c r="C116" s="1538"/>
      <c r="D116" s="1539"/>
      <c r="E116" s="1540"/>
      <c r="F116" s="1539"/>
      <c r="G116" s="1539"/>
      <c r="H116" s="1539"/>
      <c r="I116" s="1348"/>
      <c r="J116" s="1348"/>
      <c r="K116" s="1347"/>
      <c r="L116" s="1137"/>
      <c r="M116" s="1137"/>
      <c r="N116" s="1347"/>
      <c r="O116" s="1349"/>
      <c r="P116" s="1252"/>
      <c r="Q116" s="1252"/>
      <c r="R116" s="1252"/>
      <c r="S116" s="1350">
        <f>SUM(V116:Z116)</f>
        <v>2476500</v>
      </c>
      <c r="T116" s="451">
        <f>SUM(S116)/1.27</f>
        <v>1950000</v>
      </c>
      <c r="U116" s="660">
        <f>SUM(T116)*0.27</f>
        <v>526500</v>
      </c>
      <c r="V116" s="451">
        <v>2476500</v>
      </c>
      <c r="W116" s="451"/>
      <c r="X116" s="660"/>
      <c r="Y116" s="1352">
        <v>0</v>
      </c>
      <c r="Z116" s="1137">
        <v>0</v>
      </c>
      <c r="AA116" s="1347">
        <v>0</v>
      </c>
      <c r="AB116" s="1137">
        <f>SUM(Z116:AA116)</f>
        <v>0</v>
      </c>
      <c r="AC116" s="1137"/>
      <c r="AD116" s="1347"/>
    </row>
    <row r="117" spans="1:30" s="293" customFormat="1" ht="14.25" customHeight="1">
      <c r="A117" s="1549"/>
      <c r="B117" s="1537" t="s">
        <v>1112</v>
      </c>
      <c r="C117" s="1538">
        <v>0</v>
      </c>
      <c r="D117" s="1539">
        <v>0</v>
      </c>
      <c r="E117" s="1540">
        <v>0</v>
      </c>
      <c r="F117" s="1539">
        <v>0</v>
      </c>
      <c r="G117" s="1539">
        <v>0</v>
      </c>
      <c r="H117" s="1539">
        <v>0</v>
      </c>
      <c r="I117" s="1348">
        <f>SUM(L117:N117)</f>
        <v>2540000</v>
      </c>
      <c r="J117" s="1348">
        <f>SUM(I117)/1.27</f>
        <v>2000000</v>
      </c>
      <c r="K117" s="1347">
        <f>SUM(J117)*0.27</f>
        <v>540000</v>
      </c>
      <c r="L117" s="1137">
        <v>2540000</v>
      </c>
      <c r="M117" s="1137">
        <v>0</v>
      </c>
      <c r="N117" s="1347">
        <v>0</v>
      </c>
      <c r="O117" s="1349">
        <f>SUM(P117:R117)</f>
        <v>0</v>
      </c>
      <c r="P117" s="1252"/>
      <c r="Q117" s="1252"/>
      <c r="R117" s="1252"/>
      <c r="S117" s="1350">
        <f>SUM(V117:Z117)</f>
        <v>5971272</v>
      </c>
      <c r="T117" s="451">
        <f>SUM(S117)/1.27</f>
        <v>4701789</v>
      </c>
      <c r="U117" s="660">
        <f>SUM(T117)*0.27</f>
        <v>1269483</v>
      </c>
      <c r="V117" s="451">
        <v>2142236</v>
      </c>
      <c r="W117" s="451">
        <f>SUM(M117+Q117)</f>
        <v>0</v>
      </c>
      <c r="X117" s="660">
        <f>SUM(N117+R117)</f>
        <v>0</v>
      </c>
      <c r="Y117" s="1352">
        <v>2142236</v>
      </c>
      <c r="Z117" s="1137">
        <v>1686800</v>
      </c>
      <c r="AA117" s="1347">
        <v>455436</v>
      </c>
      <c r="AB117" s="1137">
        <f>SUM(Z117:AA117)</f>
        <v>2142236</v>
      </c>
      <c r="AC117" s="1137"/>
      <c r="AD117" s="1347"/>
    </row>
    <row r="118" spans="1:30" s="293" customFormat="1" ht="13.5" customHeight="1">
      <c r="A118" s="1549"/>
      <c r="B118" s="1537"/>
      <c r="C118" s="1538"/>
      <c r="D118" s="1539"/>
      <c r="E118" s="1540"/>
      <c r="F118" s="1539"/>
      <c r="G118" s="1539"/>
      <c r="H118" s="1539"/>
      <c r="I118" s="1348"/>
      <c r="J118" s="1348"/>
      <c r="K118" s="1347"/>
      <c r="L118" s="1137"/>
      <c r="M118" s="1137"/>
      <c r="N118" s="1347"/>
      <c r="O118" s="1372"/>
      <c r="P118" s="451"/>
      <c r="Q118" s="451"/>
      <c r="R118" s="451"/>
      <c r="S118" s="1350">
        <f>SUM(V118:Z118)</f>
        <v>0</v>
      </c>
      <c r="T118" s="451"/>
      <c r="U118" s="660"/>
      <c r="V118" s="451"/>
      <c r="W118" s="451"/>
      <c r="X118" s="660"/>
      <c r="Y118" s="1352"/>
      <c r="Z118" s="1137"/>
      <c r="AA118" s="1347"/>
      <c r="AB118" s="1137"/>
      <c r="AC118" s="1137"/>
      <c r="AD118" s="1347"/>
    </row>
    <row r="119" spans="1:30" s="293" customFormat="1" ht="14.25" customHeight="1">
      <c r="A119" s="1532" t="s">
        <v>170</v>
      </c>
      <c r="B119" s="1533"/>
      <c r="C119" s="1534">
        <f t="shared" ref="C119:H119" si="55">SUM(C120:C123)</f>
        <v>1621000</v>
      </c>
      <c r="D119" s="1535">
        <f t="shared" si="55"/>
        <v>1276000</v>
      </c>
      <c r="E119" s="1536">
        <f t="shared" si="55"/>
        <v>345000</v>
      </c>
      <c r="F119" s="1535">
        <f t="shared" si="55"/>
        <v>1621000</v>
      </c>
      <c r="G119" s="1535">
        <f t="shared" si="55"/>
        <v>0</v>
      </c>
      <c r="H119" s="1535">
        <f t="shared" si="55"/>
        <v>0</v>
      </c>
      <c r="I119" s="1334">
        <f t="shared" ref="I119:N119" si="56">SUM(I120:I125)</f>
        <v>2700500</v>
      </c>
      <c r="J119" s="1334">
        <f t="shared" si="56"/>
        <v>2126000</v>
      </c>
      <c r="K119" s="1333">
        <f t="shared" si="56"/>
        <v>574500</v>
      </c>
      <c r="L119" s="1335">
        <f t="shared" si="56"/>
        <v>2700500</v>
      </c>
      <c r="M119" s="1335">
        <f t="shared" si="56"/>
        <v>0</v>
      </c>
      <c r="N119" s="1333">
        <f t="shared" si="56"/>
        <v>0</v>
      </c>
      <c r="O119" s="1336">
        <f>SUM(O120:O123)</f>
        <v>0</v>
      </c>
      <c r="P119" s="1337">
        <f>SUM(P120:P123)</f>
        <v>0</v>
      </c>
      <c r="Q119" s="1337">
        <f>SUM(Q120:Q123)</f>
        <v>0</v>
      </c>
      <c r="R119" s="1337">
        <f>SUM(R120:R123)</f>
        <v>0</v>
      </c>
      <c r="S119" s="1338">
        <f>SUM(S120:S124)</f>
        <v>5276481</v>
      </c>
      <c r="T119" s="1341">
        <f>SUM(T120:T124)</f>
        <v>4154331</v>
      </c>
      <c r="U119" s="1340">
        <f>SUM(U120:U124)</f>
        <v>1122150</v>
      </c>
      <c r="V119" s="1341">
        <f>SUM(V120:V124)</f>
        <v>2612023</v>
      </c>
      <c r="W119" s="1341">
        <f>SUM(W120:W123)</f>
        <v>0</v>
      </c>
      <c r="X119" s="1340">
        <f>SUM(X120:X123)</f>
        <v>0</v>
      </c>
      <c r="Y119" s="1342">
        <f t="shared" ref="Y119:AD119" si="57">SUM(Y120:Y124)</f>
        <v>2354934</v>
      </c>
      <c r="Z119" s="1335">
        <f t="shared" si="57"/>
        <v>1860231</v>
      </c>
      <c r="AA119" s="1333">
        <f t="shared" si="57"/>
        <v>494703</v>
      </c>
      <c r="AB119" s="1335">
        <f t="shared" si="57"/>
        <v>2354934</v>
      </c>
      <c r="AC119" s="1335">
        <f t="shared" si="57"/>
        <v>0</v>
      </c>
      <c r="AD119" s="1333">
        <f t="shared" si="57"/>
        <v>0</v>
      </c>
    </row>
    <row r="120" spans="1:30" s="293" customFormat="1" ht="14.25" customHeight="1">
      <c r="A120" s="1549"/>
      <c r="B120" s="1537" t="s">
        <v>1161</v>
      </c>
      <c r="C120" s="1538">
        <v>440000</v>
      </c>
      <c r="D120" s="1539">
        <v>346000</v>
      </c>
      <c r="E120" s="1540">
        <v>94000</v>
      </c>
      <c r="F120" s="1539">
        <v>440000</v>
      </c>
      <c r="G120" s="1539">
        <v>0</v>
      </c>
      <c r="H120" s="1539">
        <v>0</v>
      </c>
      <c r="I120" s="1348">
        <f>SUM(L120:N120)</f>
        <v>440000</v>
      </c>
      <c r="J120" s="1348">
        <v>346000</v>
      </c>
      <c r="K120" s="1347">
        <v>94000</v>
      </c>
      <c r="L120" s="1137">
        <v>440000</v>
      </c>
      <c r="M120" s="1137">
        <v>0</v>
      </c>
      <c r="N120" s="1347">
        <v>0</v>
      </c>
      <c r="O120" s="1349">
        <f>SUM(P120:R120)</f>
        <v>0</v>
      </c>
      <c r="P120" s="1252"/>
      <c r="Q120" s="1252"/>
      <c r="R120" s="1252"/>
      <c r="S120" s="1350">
        <f>SUM(V120:X120)</f>
        <v>440000</v>
      </c>
      <c r="T120" s="451">
        <v>346000</v>
      </c>
      <c r="U120" s="660">
        <v>94000</v>
      </c>
      <c r="V120" s="451">
        <f t="shared" ref="V120:X121" si="58">SUM(L120+P120)</f>
        <v>440000</v>
      </c>
      <c r="W120" s="451">
        <f t="shared" si="58"/>
        <v>0</v>
      </c>
      <c r="X120" s="660">
        <f t="shared" si="58"/>
        <v>0</v>
      </c>
      <c r="Y120" s="1352">
        <v>407300</v>
      </c>
      <c r="Z120" s="1137">
        <v>326661</v>
      </c>
      <c r="AA120" s="1347">
        <v>80639</v>
      </c>
      <c r="AB120" s="1137">
        <f>SUM(Z120:AA120)</f>
        <v>407300</v>
      </c>
      <c r="AC120" s="1137"/>
      <c r="AD120" s="1347"/>
    </row>
    <row r="121" spans="1:30" s="293" customFormat="1" ht="14.25" customHeight="1">
      <c r="A121" s="1549"/>
      <c r="B121" s="1537" t="s">
        <v>1091</v>
      </c>
      <c r="C121" s="1538">
        <v>546000</v>
      </c>
      <c r="D121" s="1539">
        <v>430000</v>
      </c>
      <c r="E121" s="1540">
        <v>116000</v>
      </c>
      <c r="F121" s="1539">
        <v>546000</v>
      </c>
      <c r="G121" s="1539">
        <v>0</v>
      </c>
      <c r="H121" s="1539">
        <v>0</v>
      </c>
      <c r="I121" s="1348">
        <f>SUM(L121:N121)</f>
        <v>546000</v>
      </c>
      <c r="J121" s="1348">
        <v>430000</v>
      </c>
      <c r="K121" s="1347">
        <v>116000</v>
      </c>
      <c r="L121" s="1137">
        <v>546000</v>
      </c>
      <c r="M121" s="1137">
        <v>0</v>
      </c>
      <c r="N121" s="1347">
        <v>0</v>
      </c>
      <c r="O121" s="1349">
        <f>SUM(P121:R121)</f>
        <v>0</v>
      </c>
      <c r="P121" s="1252"/>
      <c r="Q121" s="1252"/>
      <c r="R121" s="1252"/>
      <c r="S121" s="1350">
        <f>SUM(V121:X121)</f>
        <v>546000</v>
      </c>
      <c r="T121" s="451">
        <v>430000</v>
      </c>
      <c r="U121" s="660">
        <v>116000</v>
      </c>
      <c r="V121" s="451">
        <f t="shared" si="58"/>
        <v>546000</v>
      </c>
      <c r="W121" s="451">
        <f t="shared" si="58"/>
        <v>0</v>
      </c>
      <c r="X121" s="660">
        <f t="shared" si="58"/>
        <v>0</v>
      </c>
      <c r="Y121" s="1352">
        <v>456946</v>
      </c>
      <c r="Z121" s="1137">
        <v>359800</v>
      </c>
      <c r="AA121" s="1347">
        <v>97146</v>
      </c>
      <c r="AB121" s="1137">
        <f>SUM(Z121:AA121)</f>
        <v>456946</v>
      </c>
      <c r="AC121" s="1137"/>
      <c r="AD121" s="1347"/>
    </row>
    <row r="122" spans="1:30" s="293" customFormat="1" ht="14.25" customHeight="1">
      <c r="A122" s="1549"/>
      <c r="B122" s="1537" t="s">
        <v>1172</v>
      </c>
      <c r="C122" s="1538">
        <v>635000</v>
      </c>
      <c r="D122" s="1539">
        <v>500000</v>
      </c>
      <c r="E122" s="1540">
        <v>135000</v>
      </c>
      <c r="F122" s="1539">
        <v>635000</v>
      </c>
      <c r="G122" s="1539">
        <v>0</v>
      </c>
      <c r="H122" s="1539">
        <v>0</v>
      </c>
      <c r="I122" s="1348">
        <f>SUM(L122:N122)</f>
        <v>635000</v>
      </c>
      <c r="J122" s="1348">
        <f>SUM(I122)/1.27</f>
        <v>500000</v>
      </c>
      <c r="K122" s="1347">
        <f>SUM(J122)*0.27</f>
        <v>135000</v>
      </c>
      <c r="L122" s="1137">
        <v>635000</v>
      </c>
      <c r="M122" s="1137">
        <v>0</v>
      </c>
      <c r="N122" s="1347">
        <v>0</v>
      </c>
      <c r="O122" s="1349">
        <f>SUM(P122:R122)</f>
        <v>0</v>
      </c>
      <c r="P122" s="1252"/>
      <c r="Q122" s="1252"/>
      <c r="R122" s="1252"/>
      <c r="S122" s="1350">
        <f>SUM(V122:Z122)</f>
        <v>1679978</v>
      </c>
      <c r="T122" s="451">
        <f>SUM(S122)/1.27</f>
        <v>1322817</v>
      </c>
      <c r="U122" s="660">
        <f>SUM(T122)*0.27</f>
        <v>357161</v>
      </c>
      <c r="V122" s="451">
        <v>602704</v>
      </c>
      <c r="W122" s="451">
        <f>SUM(M122+Q122)</f>
        <v>0</v>
      </c>
      <c r="X122" s="660">
        <f>SUM(N122+R122)</f>
        <v>0</v>
      </c>
      <c r="Y122" s="1352">
        <v>602704</v>
      </c>
      <c r="Z122" s="1137">
        <v>474570</v>
      </c>
      <c r="AA122" s="1347">
        <v>128134</v>
      </c>
      <c r="AB122" s="1137">
        <f>SUM(Z122:AA122)</f>
        <v>602704</v>
      </c>
      <c r="AC122" s="1137"/>
      <c r="AD122" s="1347"/>
    </row>
    <row r="123" spans="1:30" s="293" customFormat="1" ht="14.25" customHeight="1">
      <c r="A123" s="1549"/>
      <c r="B123" s="1537" t="s">
        <v>1112</v>
      </c>
      <c r="C123" s="1538">
        <v>0</v>
      </c>
      <c r="D123" s="1539">
        <v>0</v>
      </c>
      <c r="E123" s="1540">
        <v>0</v>
      </c>
      <c r="F123" s="1539"/>
      <c r="G123" s="1539"/>
      <c r="H123" s="1539"/>
      <c r="I123" s="1348">
        <f>SUM(L123:N123)</f>
        <v>1079500</v>
      </c>
      <c r="J123" s="1348">
        <f>SUM(I123)/1.27</f>
        <v>850000</v>
      </c>
      <c r="K123" s="1347">
        <f>SUM(J123)*0.27</f>
        <v>229500</v>
      </c>
      <c r="L123" s="1137">
        <v>1079500</v>
      </c>
      <c r="M123" s="1137"/>
      <c r="N123" s="1347"/>
      <c r="O123" s="1349">
        <f>SUM(P123:R123)</f>
        <v>0</v>
      </c>
      <c r="P123" s="1252"/>
      <c r="Q123" s="1252"/>
      <c r="R123" s="1252"/>
      <c r="S123" s="1350">
        <f>SUM(V123:Z123)</f>
        <v>2475168</v>
      </c>
      <c r="T123" s="451">
        <f>SUM(S123)/1.27</f>
        <v>1948951</v>
      </c>
      <c r="U123" s="660">
        <f>SUM(T123)*0.27</f>
        <v>526217</v>
      </c>
      <c r="V123" s="451">
        <v>887984</v>
      </c>
      <c r="W123" s="451">
        <f>SUM(M123+Q123)</f>
        <v>0</v>
      </c>
      <c r="X123" s="660">
        <f>SUM(N123+R123)</f>
        <v>0</v>
      </c>
      <c r="Y123" s="1352">
        <v>887984</v>
      </c>
      <c r="Z123" s="1137">
        <v>699200</v>
      </c>
      <c r="AA123" s="1347">
        <v>188784</v>
      </c>
      <c r="AB123" s="1137">
        <f>SUM(Z123:AA123)</f>
        <v>887984</v>
      </c>
      <c r="AC123" s="1137"/>
      <c r="AD123" s="1347"/>
    </row>
    <row r="124" spans="1:30" s="293" customFormat="1" ht="14.25" customHeight="1">
      <c r="A124" s="1549"/>
      <c r="B124" s="1542" t="s">
        <v>1173</v>
      </c>
      <c r="C124" s="1538"/>
      <c r="D124" s="1539"/>
      <c r="E124" s="1540"/>
      <c r="F124" s="1539"/>
      <c r="G124" s="1539"/>
      <c r="H124" s="1539"/>
      <c r="I124" s="1348"/>
      <c r="J124" s="1348"/>
      <c r="K124" s="1347"/>
      <c r="L124" s="1137"/>
      <c r="M124" s="1137"/>
      <c r="N124" s="1347"/>
      <c r="O124" s="1349"/>
      <c r="P124" s="1252"/>
      <c r="Q124" s="1252"/>
      <c r="R124" s="1252"/>
      <c r="S124" s="1350">
        <f>SUM(V124:Z124)</f>
        <v>135335</v>
      </c>
      <c r="T124" s="451">
        <f>SUM(S124)/1.27</f>
        <v>106563</v>
      </c>
      <c r="U124" s="660">
        <f>SUM(T124)*0.27</f>
        <v>28772</v>
      </c>
      <c r="V124" s="451">
        <v>135335</v>
      </c>
      <c r="W124" s="451"/>
      <c r="X124" s="660"/>
      <c r="Y124" s="1352">
        <v>0</v>
      </c>
      <c r="Z124" s="1137">
        <v>0</v>
      </c>
      <c r="AA124" s="1347">
        <v>0</v>
      </c>
      <c r="AB124" s="1137">
        <f>SUM(Z124:AA124)</f>
        <v>0</v>
      </c>
      <c r="AC124" s="1137"/>
      <c r="AD124" s="1347"/>
    </row>
    <row r="125" spans="1:30" s="293" customFormat="1" ht="12.75" customHeight="1">
      <c r="A125" s="1549"/>
      <c r="B125" s="1537"/>
      <c r="C125" s="1538"/>
      <c r="D125" s="1539"/>
      <c r="E125" s="1540"/>
      <c r="F125" s="1539"/>
      <c r="G125" s="1539"/>
      <c r="H125" s="1539"/>
      <c r="I125" s="1348"/>
      <c r="J125" s="1348"/>
      <c r="K125" s="1347"/>
      <c r="L125" s="1137"/>
      <c r="M125" s="1137"/>
      <c r="N125" s="1347"/>
      <c r="O125" s="1372"/>
      <c r="P125" s="451"/>
      <c r="Q125" s="451"/>
      <c r="R125" s="451"/>
      <c r="S125" s="1350"/>
      <c r="T125" s="451"/>
      <c r="U125" s="660"/>
      <c r="V125" s="451"/>
      <c r="W125" s="451"/>
      <c r="X125" s="660"/>
      <c r="Y125" s="1352"/>
      <c r="Z125" s="1137"/>
      <c r="AA125" s="1347"/>
      <c r="AB125" s="1137"/>
      <c r="AC125" s="1137"/>
      <c r="AD125" s="1347"/>
    </row>
    <row r="126" spans="1:30" s="293" customFormat="1" ht="14.25" customHeight="1">
      <c r="A126" s="1532" t="s">
        <v>171</v>
      </c>
      <c r="B126" s="1533"/>
      <c r="C126" s="1534">
        <f t="shared" ref="C126:H126" si="59">SUM(C127:C130)</f>
        <v>685000</v>
      </c>
      <c r="D126" s="1535">
        <f t="shared" si="59"/>
        <v>539000</v>
      </c>
      <c r="E126" s="1536">
        <f t="shared" si="59"/>
        <v>146000</v>
      </c>
      <c r="F126" s="1535">
        <f t="shared" si="59"/>
        <v>685000</v>
      </c>
      <c r="G126" s="1535">
        <f t="shared" si="59"/>
        <v>0</v>
      </c>
      <c r="H126" s="1535">
        <f t="shared" si="59"/>
        <v>0</v>
      </c>
      <c r="I126" s="1334">
        <f t="shared" ref="I126:N126" si="60">SUM(I127:I131)</f>
        <v>1391999</v>
      </c>
      <c r="J126" s="1334">
        <f t="shared" si="60"/>
        <v>1095692</v>
      </c>
      <c r="K126" s="1333">
        <f t="shared" si="60"/>
        <v>296307</v>
      </c>
      <c r="L126" s="1335">
        <f t="shared" si="60"/>
        <v>1391999</v>
      </c>
      <c r="M126" s="1335">
        <f t="shared" si="60"/>
        <v>0</v>
      </c>
      <c r="N126" s="1333">
        <f t="shared" si="60"/>
        <v>0</v>
      </c>
      <c r="O126" s="1336">
        <f t="shared" ref="O126:AD126" si="61">SUM(O127:O130)</f>
        <v>0</v>
      </c>
      <c r="P126" s="1337">
        <f t="shared" si="61"/>
        <v>0</v>
      </c>
      <c r="Q126" s="1337">
        <f t="shared" si="61"/>
        <v>0</v>
      </c>
      <c r="R126" s="1337">
        <f t="shared" si="61"/>
        <v>0</v>
      </c>
      <c r="S126" s="1338">
        <f t="shared" si="61"/>
        <v>1471294</v>
      </c>
      <c r="T126" s="1341">
        <f t="shared" si="61"/>
        <v>1158536</v>
      </c>
      <c r="U126" s="1340">
        <f t="shared" si="61"/>
        <v>312758</v>
      </c>
      <c r="V126" s="1341">
        <f t="shared" si="61"/>
        <v>1471294</v>
      </c>
      <c r="W126" s="1341">
        <f t="shared" si="61"/>
        <v>0</v>
      </c>
      <c r="X126" s="1340">
        <f t="shared" si="61"/>
        <v>0</v>
      </c>
      <c r="Y126" s="1342">
        <f t="shared" si="61"/>
        <v>1159927</v>
      </c>
      <c r="Z126" s="1335">
        <f t="shared" si="61"/>
        <v>913326</v>
      </c>
      <c r="AA126" s="1333">
        <f t="shared" si="61"/>
        <v>246601</v>
      </c>
      <c r="AB126" s="1335">
        <f t="shared" si="61"/>
        <v>1159927</v>
      </c>
      <c r="AC126" s="1335">
        <f t="shared" si="61"/>
        <v>0</v>
      </c>
      <c r="AD126" s="1333">
        <f t="shared" si="61"/>
        <v>0</v>
      </c>
    </row>
    <row r="127" spans="1:30" s="293" customFormat="1" ht="14.25" customHeight="1">
      <c r="A127" s="1549"/>
      <c r="B127" s="1537" t="s">
        <v>1161</v>
      </c>
      <c r="C127" s="1538">
        <v>412000</v>
      </c>
      <c r="D127" s="1539">
        <v>324000</v>
      </c>
      <c r="E127" s="1540">
        <v>88000</v>
      </c>
      <c r="F127" s="1539">
        <v>412000</v>
      </c>
      <c r="G127" s="1539">
        <v>0</v>
      </c>
      <c r="H127" s="1539">
        <v>0</v>
      </c>
      <c r="I127" s="1348">
        <f>SUM(L127:N127)</f>
        <v>412000</v>
      </c>
      <c r="J127" s="1348">
        <v>324000</v>
      </c>
      <c r="K127" s="1347">
        <v>88000</v>
      </c>
      <c r="L127" s="1137">
        <v>412000</v>
      </c>
      <c r="M127" s="1137">
        <v>0</v>
      </c>
      <c r="N127" s="1347">
        <v>0</v>
      </c>
      <c r="O127" s="1349">
        <f>SUM(P127:R127)</f>
        <v>0</v>
      </c>
      <c r="P127" s="1252"/>
      <c r="Q127" s="1252"/>
      <c r="R127" s="1252"/>
      <c r="S127" s="1350">
        <f>SUM(V127:X127)</f>
        <v>721165</v>
      </c>
      <c r="T127" s="451">
        <v>567844</v>
      </c>
      <c r="U127" s="660">
        <v>153321</v>
      </c>
      <c r="V127" s="451">
        <v>721165</v>
      </c>
      <c r="W127" s="451">
        <f t="shared" ref="W127:X130" si="62">SUM(M127+Q127)</f>
        <v>0</v>
      </c>
      <c r="X127" s="660">
        <f t="shared" si="62"/>
        <v>0</v>
      </c>
      <c r="Y127" s="1352">
        <v>454325</v>
      </c>
      <c r="Z127" s="1137">
        <v>357734</v>
      </c>
      <c r="AA127" s="1347">
        <v>96591</v>
      </c>
      <c r="AB127" s="1137">
        <f>SUM(Z127:AA127)</f>
        <v>454325</v>
      </c>
      <c r="AC127" s="1137"/>
      <c r="AD127" s="1347"/>
    </row>
    <row r="128" spans="1:30" s="293" customFormat="1" ht="14.25" customHeight="1">
      <c r="A128" s="1549"/>
      <c r="B128" s="1537" t="s">
        <v>1091</v>
      </c>
      <c r="C128" s="1538">
        <v>273000</v>
      </c>
      <c r="D128" s="1539">
        <v>215000</v>
      </c>
      <c r="E128" s="1540">
        <v>58000</v>
      </c>
      <c r="F128" s="1539">
        <v>273000</v>
      </c>
      <c r="G128" s="1539">
        <v>0</v>
      </c>
      <c r="H128" s="1539">
        <v>0</v>
      </c>
      <c r="I128" s="1348">
        <f>SUM(L128:N128)</f>
        <v>273000</v>
      </c>
      <c r="J128" s="1348">
        <v>215000</v>
      </c>
      <c r="K128" s="1347">
        <v>58000</v>
      </c>
      <c r="L128" s="1137">
        <v>273000</v>
      </c>
      <c r="M128" s="1137">
        <v>0</v>
      </c>
      <c r="N128" s="1347">
        <v>0</v>
      </c>
      <c r="O128" s="1349">
        <f>SUM(P128:R128)</f>
        <v>0</v>
      </c>
      <c r="P128" s="1252"/>
      <c r="Q128" s="1252"/>
      <c r="R128" s="1252"/>
      <c r="S128" s="1350">
        <f>SUM(V128:X128)</f>
        <v>273000</v>
      </c>
      <c r="T128" s="451">
        <v>215000</v>
      </c>
      <c r="U128" s="660">
        <v>58000</v>
      </c>
      <c r="V128" s="451">
        <f>SUM(L128+P128)</f>
        <v>273000</v>
      </c>
      <c r="W128" s="451">
        <f t="shared" si="62"/>
        <v>0</v>
      </c>
      <c r="X128" s="660">
        <f t="shared" si="62"/>
        <v>0</v>
      </c>
      <c r="Y128" s="1352">
        <v>228473</v>
      </c>
      <c r="Z128" s="1137">
        <v>179900</v>
      </c>
      <c r="AA128" s="1347">
        <v>48573</v>
      </c>
      <c r="AB128" s="1137">
        <f>SUM(Z128:AA128)</f>
        <v>228473</v>
      </c>
      <c r="AC128" s="1137"/>
      <c r="AD128" s="1347"/>
    </row>
    <row r="129" spans="1:30" s="293" customFormat="1" ht="14.25" customHeight="1">
      <c r="A129" s="1549"/>
      <c r="B129" s="1537" t="s">
        <v>1174</v>
      </c>
      <c r="C129" s="1538">
        <v>0</v>
      </c>
      <c r="D129" s="1539">
        <v>0</v>
      </c>
      <c r="E129" s="1540">
        <v>0</v>
      </c>
      <c r="F129" s="1539"/>
      <c r="G129" s="1539"/>
      <c r="H129" s="1539"/>
      <c r="I129" s="1348">
        <f>SUM(L129:N129)</f>
        <v>71999</v>
      </c>
      <c r="J129" s="1348">
        <f>SUM(I129)/1.27</f>
        <v>56692</v>
      </c>
      <c r="K129" s="1347">
        <f>SUM(J129)*0.27</f>
        <v>15307</v>
      </c>
      <c r="L129" s="1137">
        <v>71999</v>
      </c>
      <c r="M129" s="1137"/>
      <c r="N129" s="1347"/>
      <c r="O129" s="1349">
        <f>SUM(P129:R129)</f>
        <v>0</v>
      </c>
      <c r="P129" s="1252"/>
      <c r="Q129" s="1252"/>
      <c r="R129" s="1252"/>
      <c r="S129" s="1350">
        <f>SUM(V129:X129)</f>
        <v>71999</v>
      </c>
      <c r="T129" s="451">
        <f>SUM(S129)/1.27</f>
        <v>56692</v>
      </c>
      <c r="U129" s="660">
        <f>SUM(T129)*0.27</f>
        <v>15307</v>
      </c>
      <c r="V129" s="451">
        <f>SUM(L129+P129)</f>
        <v>71999</v>
      </c>
      <c r="W129" s="451">
        <f t="shared" si="62"/>
        <v>0</v>
      </c>
      <c r="X129" s="660">
        <f t="shared" si="62"/>
        <v>0</v>
      </c>
      <c r="Y129" s="1352">
        <v>71999</v>
      </c>
      <c r="Z129" s="1137">
        <v>56692</v>
      </c>
      <c r="AA129" s="1347">
        <v>15307</v>
      </c>
      <c r="AB129" s="1137">
        <f>SUM(Z129:AA129)</f>
        <v>71999</v>
      </c>
      <c r="AC129" s="1137"/>
      <c r="AD129" s="1347"/>
    </row>
    <row r="130" spans="1:30" s="293" customFormat="1" ht="14.25" customHeight="1">
      <c r="A130" s="1549"/>
      <c r="B130" s="1537" t="s">
        <v>1112</v>
      </c>
      <c r="C130" s="1538">
        <v>0</v>
      </c>
      <c r="D130" s="1539">
        <v>0</v>
      </c>
      <c r="E130" s="1540">
        <v>0</v>
      </c>
      <c r="F130" s="1539"/>
      <c r="G130" s="1539"/>
      <c r="H130" s="1539"/>
      <c r="I130" s="1348">
        <f>SUM(L130:N130)</f>
        <v>635000</v>
      </c>
      <c r="J130" s="1348">
        <f>SUM(I130)/1.27</f>
        <v>500000</v>
      </c>
      <c r="K130" s="1347">
        <f>SUM(J130)*0.27</f>
        <v>135000</v>
      </c>
      <c r="L130" s="1137">
        <v>635000</v>
      </c>
      <c r="M130" s="1137"/>
      <c r="N130" s="1347"/>
      <c r="O130" s="1349">
        <f>SUM(P130:R130)</f>
        <v>0</v>
      </c>
      <c r="P130" s="1252"/>
      <c r="Q130" s="1252"/>
      <c r="R130" s="1252"/>
      <c r="S130" s="1350">
        <f>SUM(V130:X130)</f>
        <v>405130</v>
      </c>
      <c r="T130" s="451">
        <f>SUM(S130)/1.27</f>
        <v>319000</v>
      </c>
      <c r="U130" s="660">
        <f>SUM(T130)*0.27</f>
        <v>86130</v>
      </c>
      <c r="V130" s="451">
        <v>405130</v>
      </c>
      <c r="W130" s="451">
        <f t="shared" si="62"/>
        <v>0</v>
      </c>
      <c r="X130" s="660">
        <f t="shared" si="62"/>
        <v>0</v>
      </c>
      <c r="Y130" s="1352">
        <v>405130</v>
      </c>
      <c r="Z130" s="1137">
        <v>319000</v>
      </c>
      <c r="AA130" s="1347">
        <v>86130</v>
      </c>
      <c r="AB130" s="1137">
        <f>SUM(Z130:AA130)</f>
        <v>405130</v>
      </c>
      <c r="AC130" s="1137"/>
      <c r="AD130" s="1347"/>
    </row>
    <row r="131" spans="1:30" s="293" customFormat="1" ht="13.5" customHeight="1">
      <c r="A131" s="1549"/>
      <c r="B131" s="1537"/>
      <c r="C131" s="1538"/>
      <c r="D131" s="1539"/>
      <c r="E131" s="1540"/>
      <c r="F131" s="1539"/>
      <c r="G131" s="1539"/>
      <c r="H131" s="1539"/>
      <c r="I131" s="1348"/>
      <c r="J131" s="1348"/>
      <c r="K131" s="1347"/>
      <c r="L131" s="1137"/>
      <c r="M131" s="1137"/>
      <c r="N131" s="1556"/>
      <c r="O131" s="1557"/>
      <c r="P131" s="1254"/>
      <c r="Q131" s="1254"/>
      <c r="R131" s="1254"/>
      <c r="S131" s="1489"/>
      <c r="T131" s="1558"/>
      <c r="U131" s="1559"/>
      <c r="V131" s="1558"/>
      <c r="W131" s="1558"/>
      <c r="X131" s="1559"/>
      <c r="Y131" s="1560"/>
      <c r="Z131" s="1254"/>
      <c r="AA131" s="1556"/>
      <c r="AB131" s="1254"/>
      <c r="AC131" s="1254"/>
      <c r="AD131" s="1556"/>
    </row>
    <row r="132" spans="1:30" s="293" customFormat="1" ht="14.25" customHeight="1">
      <c r="A132" s="1532" t="s">
        <v>172</v>
      </c>
      <c r="B132" s="1533"/>
      <c r="C132" s="1534">
        <f t="shared" ref="C132:AD132" si="63">SUM(C133:C137)</f>
        <v>2050000</v>
      </c>
      <c r="D132" s="1535">
        <f t="shared" si="63"/>
        <v>1614000</v>
      </c>
      <c r="E132" s="1536">
        <f t="shared" si="63"/>
        <v>436000</v>
      </c>
      <c r="F132" s="1535">
        <f t="shared" si="63"/>
        <v>2050000</v>
      </c>
      <c r="G132" s="1535">
        <f t="shared" si="63"/>
        <v>0</v>
      </c>
      <c r="H132" s="1535">
        <f t="shared" si="63"/>
        <v>0</v>
      </c>
      <c r="I132" s="1334">
        <f t="shared" si="63"/>
        <v>6602091</v>
      </c>
      <c r="J132" s="1334">
        <f t="shared" si="63"/>
        <v>5198324</v>
      </c>
      <c r="K132" s="1333">
        <f t="shared" si="63"/>
        <v>1403767</v>
      </c>
      <c r="L132" s="1335">
        <f t="shared" si="63"/>
        <v>6602091</v>
      </c>
      <c r="M132" s="1335">
        <f t="shared" si="63"/>
        <v>0</v>
      </c>
      <c r="N132" s="1333">
        <f t="shared" si="63"/>
        <v>0</v>
      </c>
      <c r="O132" s="1336">
        <f t="shared" si="63"/>
        <v>0</v>
      </c>
      <c r="P132" s="1337">
        <f t="shared" si="63"/>
        <v>0</v>
      </c>
      <c r="Q132" s="1337">
        <f t="shared" si="63"/>
        <v>0</v>
      </c>
      <c r="R132" s="1337">
        <f t="shared" si="63"/>
        <v>0</v>
      </c>
      <c r="S132" s="1338">
        <f t="shared" si="63"/>
        <v>22334008</v>
      </c>
      <c r="T132" s="1341">
        <f t="shared" si="63"/>
        <v>17585361</v>
      </c>
      <c r="U132" s="1340">
        <f t="shared" si="63"/>
        <v>4748648</v>
      </c>
      <c r="V132" s="1341">
        <f t="shared" si="63"/>
        <v>9581867</v>
      </c>
      <c r="W132" s="1341">
        <f t="shared" si="63"/>
        <v>0</v>
      </c>
      <c r="X132" s="1340">
        <f t="shared" si="63"/>
        <v>0</v>
      </c>
      <c r="Y132" s="1342">
        <f t="shared" si="63"/>
        <v>8666867</v>
      </c>
      <c r="Z132" s="1335">
        <f t="shared" si="63"/>
        <v>6824304</v>
      </c>
      <c r="AA132" s="1333">
        <f t="shared" si="63"/>
        <v>1842563</v>
      </c>
      <c r="AB132" s="1335">
        <f t="shared" si="63"/>
        <v>8666867</v>
      </c>
      <c r="AC132" s="1335">
        <f t="shared" si="63"/>
        <v>0</v>
      </c>
      <c r="AD132" s="1333">
        <f t="shared" si="63"/>
        <v>0</v>
      </c>
    </row>
    <row r="133" spans="1:30" s="293" customFormat="1" ht="14.25" customHeight="1">
      <c r="A133" s="1549"/>
      <c r="B133" s="1537" t="s">
        <v>1161</v>
      </c>
      <c r="C133" s="1538">
        <v>589000</v>
      </c>
      <c r="D133" s="1539">
        <v>464000</v>
      </c>
      <c r="E133" s="1540">
        <v>125000</v>
      </c>
      <c r="F133" s="1539">
        <v>589000</v>
      </c>
      <c r="G133" s="1539">
        <v>0</v>
      </c>
      <c r="H133" s="1539">
        <v>0</v>
      </c>
      <c r="I133" s="1348">
        <f>SUM(L133:N133)</f>
        <v>589000</v>
      </c>
      <c r="J133" s="1348">
        <v>464000</v>
      </c>
      <c r="K133" s="1347">
        <v>125000</v>
      </c>
      <c r="L133" s="1137">
        <v>589000</v>
      </c>
      <c r="M133" s="1137">
        <v>0</v>
      </c>
      <c r="N133" s="1347">
        <v>0</v>
      </c>
      <c r="O133" s="1349">
        <f>SUM(P133:R133)</f>
        <v>0</v>
      </c>
      <c r="P133" s="1252"/>
      <c r="Q133" s="1252"/>
      <c r="R133" s="1252"/>
      <c r="S133" s="1350">
        <f>SUM(V133:X133)</f>
        <v>1075463</v>
      </c>
      <c r="T133" s="451">
        <f>SUM(S133)/1.27</f>
        <v>846821</v>
      </c>
      <c r="U133" s="660">
        <f>SUM(T133)*0.27</f>
        <v>228642</v>
      </c>
      <c r="V133" s="451">
        <v>1075463</v>
      </c>
      <c r="W133" s="451">
        <f t="shared" ref="W133:X137" si="64">SUM(M133+Q133)</f>
        <v>0</v>
      </c>
      <c r="X133" s="660">
        <f t="shared" si="64"/>
        <v>0</v>
      </c>
      <c r="Y133" s="1352">
        <v>1075463</v>
      </c>
      <c r="Z133" s="1137">
        <v>846821</v>
      </c>
      <c r="AA133" s="1347">
        <v>228642</v>
      </c>
      <c r="AB133" s="1137">
        <f>SUM(Z133:AA133)</f>
        <v>1075463</v>
      </c>
      <c r="AC133" s="1137"/>
      <c r="AD133" s="1347"/>
    </row>
    <row r="134" spans="1:30" s="293" customFormat="1" ht="14.25" customHeight="1">
      <c r="A134" s="1549"/>
      <c r="B134" s="1537" t="s">
        <v>1091</v>
      </c>
      <c r="C134" s="1538">
        <v>546000</v>
      </c>
      <c r="D134" s="1539">
        <v>430000</v>
      </c>
      <c r="E134" s="1540">
        <v>116000</v>
      </c>
      <c r="F134" s="1539">
        <v>546000</v>
      </c>
      <c r="G134" s="1539">
        <v>0</v>
      </c>
      <c r="H134" s="1539">
        <v>0</v>
      </c>
      <c r="I134" s="1348">
        <f>SUM(L134:N134)</f>
        <v>546000</v>
      </c>
      <c r="J134" s="1348">
        <v>430000</v>
      </c>
      <c r="K134" s="1347">
        <v>116000</v>
      </c>
      <c r="L134" s="1137">
        <v>546000</v>
      </c>
      <c r="M134" s="1137">
        <v>0</v>
      </c>
      <c r="N134" s="1347">
        <v>0</v>
      </c>
      <c r="O134" s="1349">
        <f>SUM(P134:R134)</f>
        <v>0</v>
      </c>
      <c r="P134" s="1252"/>
      <c r="Q134" s="1252"/>
      <c r="R134" s="1252"/>
      <c r="S134" s="1350">
        <f>SUM(V134:X134)</f>
        <v>456946</v>
      </c>
      <c r="T134" s="451">
        <f>SUM(S134)/1.27</f>
        <v>359800</v>
      </c>
      <c r="U134" s="660">
        <f>SUM(T134)*0.27</f>
        <v>97146</v>
      </c>
      <c r="V134" s="451">
        <v>456946</v>
      </c>
      <c r="W134" s="451">
        <f t="shared" si="64"/>
        <v>0</v>
      </c>
      <c r="X134" s="660">
        <f t="shared" si="64"/>
        <v>0</v>
      </c>
      <c r="Y134" s="1352">
        <v>456946</v>
      </c>
      <c r="Z134" s="1137">
        <v>359800</v>
      </c>
      <c r="AA134" s="1347">
        <v>97146</v>
      </c>
      <c r="AB134" s="1137">
        <f>SUM(Z134:AA134)</f>
        <v>456946</v>
      </c>
      <c r="AC134" s="1137"/>
      <c r="AD134" s="1347"/>
    </row>
    <row r="135" spans="1:30" s="293" customFormat="1" ht="14.25" customHeight="1">
      <c r="A135" s="1549"/>
      <c r="B135" s="1537" t="s">
        <v>1175</v>
      </c>
      <c r="C135" s="1538">
        <v>915000</v>
      </c>
      <c r="D135" s="1539">
        <v>720000</v>
      </c>
      <c r="E135" s="1540">
        <v>195000</v>
      </c>
      <c r="F135" s="1539">
        <v>915000</v>
      </c>
      <c r="G135" s="1539">
        <v>0</v>
      </c>
      <c r="H135" s="1539">
        <v>0</v>
      </c>
      <c r="I135" s="1348">
        <f>SUM(L135:N135)</f>
        <v>915000</v>
      </c>
      <c r="J135" s="1348">
        <v>720000</v>
      </c>
      <c r="K135" s="1347">
        <v>195000</v>
      </c>
      <c r="L135" s="1137">
        <v>915000</v>
      </c>
      <c r="M135" s="1137">
        <v>0</v>
      </c>
      <c r="N135" s="1347">
        <v>0</v>
      </c>
      <c r="O135" s="1349">
        <f>SUM(P135:R135)</f>
        <v>0</v>
      </c>
      <c r="P135" s="1252"/>
      <c r="Q135" s="1252"/>
      <c r="R135" s="1252"/>
      <c r="S135" s="1350">
        <f>SUM(V135:Z135)</f>
        <v>915000</v>
      </c>
      <c r="T135" s="451">
        <f>SUM(S135)/1.27-472</f>
        <v>720000</v>
      </c>
      <c r="U135" s="660">
        <f>SUM(T135)*0.27+600</f>
        <v>195000</v>
      </c>
      <c r="V135" s="451">
        <v>915000</v>
      </c>
      <c r="W135" s="451">
        <f t="shared" si="64"/>
        <v>0</v>
      </c>
      <c r="X135" s="660">
        <f t="shared" si="64"/>
        <v>0</v>
      </c>
      <c r="Y135" s="1352">
        <v>0</v>
      </c>
      <c r="Z135" s="1137">
        <v>0</v>
      </c>
      <c r="AA135" s="1347">
        <v>0</v>
      </c>
      <c r="AB135" s="1137">
        <f>SUM(Z135:AA135)</f>
        <v>0</v>
      </c>
      <c r="AC135" s="1137"/>
      <c r="AD135" s="1347"/>
    </row>
    <row r="136" spans="1:30" s="293" customFormat="1" ht="14.25" customHeight="1">
      <c r="A136" s="1549"/>
      <c r="B136" s="1537" t="s">
        <v>1112</v>
      </c>
      <c r="C136" s="1538">
        <v>0</v>
      </c>
      <c r="D136" s="1539">
        <v>0</v>
      </c>
      <c r="E136" s="1540">
        <v>0</v>
      </c>
      <c r="F136" s="1539">
        <v>0</v>
      </c>
      <c r="G136" s="1539">
        <v>0</v>
      </c>
      <c r="H136" s="1539">
        <v>0</v>
      </c>
      <c r="I136" s="1348">
        <f>SUM(L136:N136)</f>
        <v>635000</v>
      </c>
      <c r="J136" s="1348">
        <f>SUM(I136)/1.27</f>
        <v>500000</v>
      </c>
      <c r="K136" s="1347">
        <f>SUM(J136)*0.27</f>
        <v>135000</v>
      </c>
      <c r="L136" s="1137">
        <v>635000</v>
      </c>
      <c r="M136" s="1137">
        <v>0</v>
      </c>
      <c r="N136" s="1347">
        <v>0</v>
      </c>
      <c r="O136" s="1349">
        <f>SUM(P136:R136)</f>
        <v>0</v>
      </c>
      <c r="P136" s="1252"/>
      <c r="Q136" s="1252"/>
      <c r="R136" s="1252"/>
      <c r="S136" s="1350">
        <f>SUM(V136:Z136)</f>
        <v>12151911</v>
      </c>
      <c r="T136" s="451">
        <f>SUM(S136)/1.27</f>
        <v>9568434</v>
      </c>
      <c r="U136" s="660">
        <f>SUM(T136)*0.27</f>
        <v>2583477</v>
      </c>
      <c r="V136" s="451">
        <v>4359584</v>
      </c>
      <c r="W136" s="451">
        <f t="shared" si="64"/>
        <v>0</v>
      </c>
      <c r="X136" s="660">
        <f t="shared" si="64"/>
        <v>0</v>
      </c>
      <c r="Y136" s="1352">
        <v>4359584</v>
      </c>
      <c r="Z136" s="1137">
        <v>3432743</v>
      </c>
      <c r="AA136" s="1347">
        <v>926841</v>
      </c>
      <c r="AB136" s="1137">
        <f>SUM(Z136:AA136)</f>
        <v>4359584</v>
      </c>
      <c r="AC136" s="1137"/>
      <c r="AD136" s="1347"/>
    </row>
    <row r="137" spans="1:30" s="293" customFormat="1" ht="14.25" customHeight="1">
      <c r="A137" s="1549"/>
      <c r="B137" s="1537" t="s">
        <v>1176</v>
      </c>
      <c r="C137" s="1538">
        <v>0</v>
      </c>
      <c r="D137" s="1539">
        <v>0</v>
      </c>
      <c r="E137" s="1540">
        <v>0</v>
      </c>
      <c r="F137" s="1539"/>
      <c r="G137" s="1539"/>
      <c r="H137" s="1539"/>
      <c r="I137" s="1348">
        <f>SUM(L137:N137)</f>
        <v>3917091</v>
      </c>
      <c r="J137" s="1348">
        <f>SUM(I137)/1.27</f>
        <v>3084324</v>
      </c>
      <c r="K137" s="1347">
        <f>SUM(J137)*0.27</f>
        <v>832767</v>
      </c>
      <c r="L137" s="1137">
        <v>3917091</v>
      </c>
      <c r="M137" s="1137"/>
      <c r="N137" s="1347"/>
      <c r="O137" s="1349">
        <f>SUM(P137:R137)</f>
        <v>0</v>
      </c>
      <c r="P137" s="1252"/>
      <c r="Q137" s="1252"/>
      <c r="R137" s="1252"/>
      <c r="S137" s="1350">
        <f>SUM(V137:Z137)</f>
        <v>7734688</v>
      </c>
      <c r="T137" s="451">
        <f>SUM(S137)/1.27</f>
        <v>6090306</v>
      </c>
      <c r="U137" s="660">
        <f>SUM(T137)*0.27</f>
        <v>1644383</v>
      </c>
      <c r="V137" s="451">
        <v>2774874</v>
      </c>
      <c r="W137" s="451">
        <f t="shared" si="64"/>
        <v>0</v>
      </c>
      <c r="X137" s="660">
        <f t="shared" si="64"/>
        <v>0</v>
      </c>
      <c r="Y137" s="1352">
        <v>2774874</v>
      </c>
      <c r="Z137" s="1137">
        <v>2184940</v>
      </c>
      <c r="AA137" s="1347">
        <v>589934</v>
      </c>
      <c r="AB137" s="1137">
        <f>SUM(Z137:AA137)</f>
        <v>2774874</v>
      </c>
      <c r="AC137" s="1137"/>
      <c r="AD137" s="1347"/>
    </row>
    <row r="138" spans="1:30" s="293" customFormat="1" ht="12.75" customHeight="1">
      <c r="A138" s="1553"/>
      <c r="B138" s="1537"/>
      <c r="C138" s="1538"/>
      <c r="D138" s="1539"/>
      <c r="E138" s="1540"/>
      <c r="F138" s="1539"/>
      <c r="G138" s="1539"/>
      <c r="H138" s="1539"/>
      <c r="I138" s="1367"/>
      <c r="J138" s="1354"/>
      <c r="K138" s="1355"/>
      <c r="L138" s="304"/>
      <c r="M138" s="294"/>
      <c r="N138" s="1356"/>
      <c r="O138" s="1372"/>
      <c r="P138" s="631"/>
      <c r="Q138" s="1364"/>
      <c r="R138" s="1364"/>
      <c r="S138" s="1360"/>
      <c r="T138" s="1531"/>
      <c r="U138" s="1362"/>
      <c r="V138" s="631"/>
      <c r="W138" s="1364"/>
      <c r="X138" s="1365"/>
      <c r="Y138" s="1366"/>
      <c r="Z138" s="315"/>
      <c r="AA138" s="1355"/>
      <c r="AB138" s="304"/>
      <c r="AC138" s="294"/>
      <c r="AD138" s="1356"/>
    </row>
    <row r="139" spans="1:30" s="293" customFormat="1" ht="14.25" customHeight="1">
      <c r="A139" s="1532" t="s">
        <v>173</v>
      </c>
      <c r="B139" s="1533"/>
      <c r="C139" s="1534">
        <f t="shared" ref="C139:AD139" si="65">SUM(C140:C142)</f>
        <v>909000</v>
      </c>
      <c r="D139" s="1535">
        <f t="shared" si="65"/>
        <v>716000</v>
      </c>
      <c r="E139" s="1536">
        <f t="shared" si="65"/>
        <v>193000</v>
      </c>
      <c r="F139" s="1535">
        <f t="shared" si="65"/>
        <v>909000</v>
      </c>
      <c r="G139" s="1535">
        <f t="shared" si="65"/>
        <v>0</v>
      </c>
      <c r="H139" s="1535">
        <f t="shared" si="65"/>
        <v>0</v>
      </c>
      <c r="I139" s="1334">
        <f t="shared" si="65"/>
        <v>2242500</v>
      </c>
      <c r="J139" s="1334">
        <f t="shared" si="65"/>
        <v>1766000</v>
      </c>
      <c r="K139" s="1333">
        <f t="shared" si="65"/>
        <v>476500</v>
      </c>
      <c r="L139" s="1335">
        <f t="shared" si="65"/>
        <v>2242500</v>
      </c>
      <c r="M139" s="1335">
        <f t="shared" si="65"/>
        <v>0</v>
      </c>
      <c r="N139" s="1333">
        <f t="shared" si="65"/>
        <v>0</v>
      </c>
      <c r="O139" s="1336">
        <f t="shared" si="65"/>
        <v>0</v>
      </c>
      <c r="P139" s="1337">
        <f t="shared" si="65"/>
        <v>0</v>
      </c>
      <c r="Q139" s="1337">
        <f t="shared" si="65"/>
        <v>0</v>
      </c>
      <c r="R139" s="1337">
        <f t="shared" si="65"/>
        <v>0</v>
      </c>
      <c r="S139" s="1338">
        <f t="shared" si="65"/>
        <v>4624100</v>
      </c>
      <c r="T139" s="1341">
        <f t="shared" si="65"/>
        <v>2997996</v>
      </c>
      <c r="U139" s="1340">
        <f t="shared" si="65"/>
        <v>809358</v>
      </c>
      <c r="V139" s="1341">
        <f t="shared" si="65"/>
        <v>2474489</v>
      </c>
      <c r="W139" s="1341">
        <f t="shared" si="65"/>
        <v>0</v>
      </c>
      <c r="X139" s="1340">
        <f t="shared" si="65"/>
        <v>0</v>
      </c>
      <c r="Y139" s="1342">
        <f t="shared" si="65"/>
        <v>2384800</v>
      </c>
      <c r="Z139" s="1335">
        <f t="shared" si="65"/>
        <v>1877796</v>
      </c>
      <c r="AA139" s="1333">
        <f t="shared" si="65"/>
        <v>507004</v>
      </c>
      <c r="AB139" s="1335">
        <f t="shared" si="65"/>
        <v>2384800</v>
      </c>
      <c r="AC139" s="1335">
        <f t="shared" si="65"/>
        <v>0</v>
      </c>
      <c r="AD139" s="1333">
        <f t="shared" si="65"/>
        <v>0</v>
      </c>
    </row>
    <row r="140" spans="1:30" s="293" customFormat="1" ht="14.25" customHeight="1">
      <c r="A140" s="1549"/>
      <c r="B140" s="1537" t="s">
        <v>1161</v>
      </c>
      <c r="C140" s="1538">
        <v>363000</v>
      </c>
      <c r="D140" s="1539">
        <v>286000</v>
      </c>
      <c r="E140" s="1540">
        <v>77000</v>
      </c>
      <c r="F140" s="1539">
        <v>363000</v>
      </c>
      <c r="G140" s="1539">
        <v>0</v>
      </c>
      <c r="H140" s="1539">
        <v>0</v>
      </c>
      <c r="I140" s="1348">
        <f>SUM(L140:N140)</f>
        <v>363000</v>
      </c>
      <c r="J140" s="1348">
        <v>286000</v>
      </c>
      <c r="K140" s="1347">
        <v>77000</v>
      </c>
      <c r="L140" s="1137">
        <v>363000</v>
      </c>
      <c r="M140" s="1137">
        <v>0</v>
      </c>
      <c r="N140" s="1347">
        <v>0</v>
      </c>
      <c r="O140" s="1349">
        <f>SUM(P140:R140)</f>
        <v>0</v>
      </c>
      <c r="P140" s="1252"/>
      <c r="Q140" s="1252"/>
      <c r="R140" s="1252"/>
      <c r="S140" s="1350">
        <f>SUM(V140:X140)</f>
        <v>594989</v>
      </c>
      <c r="T140" s="451">
        <f>SUM(S140)/1.27+1</f>
        <v>468496</v>
      </c>
      <c r="U140" s="660">
        <f>SUM(T140)*0.27-1</f>
        <v>126493</v>
      </c>
      <c r="V140" s="451">
        <v>594989</v>
      </c>
      <c r="W140" s="451">
        <f t="shared" ref="W140:X142" si="66">SUM(M140+Q140)</f>
        <v>0</v>
      </c>
      <c r="X140" s="660">
        <f t="shared" si="66"/>
        <v>0</v>
      </c>
      <c r="Y140" s="1352">
        <v>594989</v>
      </c>
      <c r="Z140" s="1137">
        <v>468496</v>
      </c>
      <c r="AA140" s="1347">
        <v>126493</v>
      </c>
      <c r="AB140" s="1137">
        <f>SUM(Z140:AA140)</f>
        <v>594989</v>
      </c>
      <c r="AC140" s="1137"/>
      <c r="AD140" s="1347"/>
    </row>
    <row r="141" spans="1:30" s="293" customFormat="1" ht="14.25" customHeight="1">
      <c r="A141" s="1549"/>
      <c r="B141" s="1537" t="s">
        <v>1091</v>
      </c>
      <c r="C141" s="1538">
        <v>546000</v>
      </c>
      <c r="D141" s="1539">
        <v>430000</v>
      </c>
      <c r="E141" s="1540">
        <v>116000</v>
      </c>
      <c r="F141" s="1539">
        <v>546000</v>
      </c>
      <c r="G141" s="1539">
        <v>0</v>
      </c>
      <c r="H141" s="1539">
        <v>0</v>
      </c>
      <c r="I141" s="1348">
        <f>SUM(L141:N141)</f>
        <v>546000</v>
      </c>
      <c r="J141" s="1348">
        <v>430000</v>
      </c>
      <c r="K141" s="1347">
        <v>116000</v>
      </c>
      <c r="L141" s="1137">
        <v>546000</v>
      </c>
      <c r="M141" s="1137">
        <v>0</v>
      </c>
      <c r="N141" s="1347">
        <v>0</v>
      </c>
      <c r="O141" s="1349">
        <f>SUM(P141:R141)</f>
        <v>0</v>
      </c>
      <c r="P141" s="1252"/>
      <c r="Q141" s="1252"/>
      <c r="R141" s="1252"/>
      <c r="S141" s="1350">
        <f>SUM(V141:Z141)</f>
        <v>1362746</v>
      </c>
      <c r="T141" s="451">
        <v>430000</v>
      </c>
      <c r="U141" s="660">
        <f>SUM(T141)*0.27-100</f>
        <v>116000</v>
      </c>
      <c r="V141" s="451">
        <f>SUM(L141+P141)</f>
        <v>546000</v>
      </c>
      <c r="W141" s="451">
        <f t="shared" si="66"/>
        <v>0</v>
      </c>
      <c r="X141" s="660">
        <f t="shared" si="66"/>
        <v>0</v>
      </c>
      <c r="Y141" s="1352">
        <v>456946</v>
      </c>
      <c r="Z141" s="1137">
        <v>359800</v>
      </c>
      <c r="AA141" s="1347">
        <v>97146</v>
      </c>
      <c r="AB141" s="1137">
        <f>SUM(Z141:AA141)</f>
        <v>456946</v>
      </c>
      <c r="AC141" s="1137"/>
      <c r="AD141" s="1347"/>
    </row>
    <row r="142" spans="1:30" s="293" customFormat="1" ht="14.25" customHeight="1">
      <c r="A142" s="1549"/>
      <c r="B142" s="1537" t="s">
        <v>1112</v>
      </c>
      <c r="C142" s="1538">
        <v>0</v>
      </c>
      <c r="D142" s="1539">
        <v>0</v>
      </c>
      <c r="E142" s="1540">
        <v>0</v>
      </c>
      <c r="F142" s="1539">
        <v>0</v>
      </c>
      <c r="G142" s="1539">
        <v>0</v>
      </c>
      <c r="H142" s="1539">
        <v>0</v>
      </c>
      <c r="I142" s="1348">
        <f>SUM(L142:N142)</f>
        <v>1333500</v>
      </c>
      <c r="J142" s="1348">
        <f>SUM(I142)/1.27</f>
        <v>1050000</v>
      </c>
      <c r="K142" s="1347">
        <f>SUM(J142)*0.27</f>
        <v>283500</v>
      </c>
      <c r="L142" s="1137">
        <v>1333500</v>
      </c>
      <c r="M142" s="1137">
        <v>0</v>
      </c>
      <c r="N142" s="1347">
        <v>0</v>
      </c>
      <c r="O142" s="1349">
        <f>SUM(P142:R142)</f>
        <v>0</v>
      </c>
      <c r="P142" s="1252"/>
      <c r="Q142" s="1252"/>
      <c r="R142" s="1252"/>
      <c r="S142" s="1350">
        <f>SUM(V142:Y142)</f>
        <v>2666365</v>
      </c>
      <c r="T142" s="451">
        <f>SUM(S142)/1.27</f>
        <v>2099500</v>
      </c>
      <c r="U142" s="660">
        <f>SUM(T142)*0.27</f>
        <v>566865</v>
      </c>
      <c r="V142" s="451">
        <f>SUM(L142+P142)</f>
        <v>1333500</v>
      </c>
      <c r="W142" s="451">
        <f t="shared" si="66"/>
        <v>0</v>
      </c>
      <c r="X142" s="660">
        <f t="shared" si="66"/>
        <v>0</v>
      </c>
      <c r="Y142" s="1352">
        <v>1332865</v>
      </c>
      <c r="Z142" s="1137">
        <v>1049500</v>
      </c>
      <c r="AA142" s="1347">
        <v>283365</v>
      </c>
      <c r="AB142" s="1137">
        <f>SUM(Z142:AA142)</f>
        <v>1332865</v>
      </c>
      <c r="AC142" s="1137"/>
      <c r="AD142" s="1347"/>
    </row>
    <row r="143" spans="1:30" s="293" customFormat="1" ht="13.5" customHeight="1">
      <c r="A143" s="1549"/>
      <c r="B143" s="1537"/>
      <c r="C143" s="1538"/>
      <c r="D143" s="1539"/>
      <c r="E143" s="1540"/>
      <c r="F143" s="1539"/>
      <c r="G143" s="1539"/>
      <c r="H143" s="1539"/>
      <c r="I143" s="1348"/>
      <c r="J143" s="1348"/>
      <c r="K143" s="1347"/>
      <c r="L143" s="1137"/>
      <c r="M143" s="1137"/>
      <c r="N143" s="1347"/>
      <c r="O143" s="1372"/>
      <c r="P143" s="451"/>
      <c r="Q143" s="451"/>
      <c r="R143" s="451"/>
      <c r="S143" s="1350"/>
      <c r="T143" s="451"/>
      <c r="U143" s="660"/>
      <c r="V143" s="451"/>
      <c r="W143" s="451"/>
      <c r="X143" s="660"/>
      <c r="Y143" s="1352"/>
      <c r="Z143" s="1137"/>
      <c r="AA143" s="1347"/>
      <c r="AB143" s="1137"/>
      <c r="AC143" s="1137"/>
      <c r="AD143" s="1347"/>
    </row>
    <row r="144" spans="1:30" s="293" customFormat="1" ht="14.25" customHeight="1">
      <c r="A144" s="1532" t="s">
        <v>174</v>
      </c>
      <c r="B144" s="1533"/>
      <c r="C144" s="1534">
        <f t="shared" ref="C144:AD144" si="67">SUM(C145:C148)</f>
        <v>631000</v>
      </c>
      <c r="D144" s="1535">
        <f t="shared" si="67"/>
        <v>497000</v>
      </c>
      <c r="E144" s="1536">
        <f t="shared" si="67"/>
        <v>134000</v>
      </c>
      <c r="F144" s="1535">
        <f t="shared" si="67"/>
        <v>631000</v>
      </c>
      <c r="G144" s="1535">
        <f t="shared" si="67"/>
        <v>0</v>
      </c>
      <c r="H144" s="1535">
        <f t="shared" si="67"/>
        <v>0</v>
      </c>
      <c r="I144" s="1334">
        <f t="shared" si="67"/>
        <v>948500</v>
      </c>
      <c r="J144" s="1334">
        <f t="shared" si="67"/>
        <v>747000</v>
      </c>
      <c r="K144" s="1333">
        <f t="shared" si="67"/>
        <v>201500</v>
      </c>
      <c r="L144" s="1335">
        <f t="shared" si="67"/>
        <v>948500</v>
      </c>
      <c r="M144" s="1335">
        <f t="shared" si="67"/>
        <v>0</v>
      </c>
      <c r="N144" s="1333">
        <f t="shared" si="67"/>
        <v>0</v>
      </c>
      <c r="O144" s="1336">
        <f t="shared" si="67"/>
        <v>0</v>
      </c>
      <c r="P144" s="1337">
        <f t="shared" si="67"/>
        <v>0</v>
      </c>
      <c r="Q144" s="1337">
        <f t="shared" si="67"/>
        <v>0</v>
      </c>
      <c r="R144" s="1337">
        <f t="shared" si="67"/>
        <v>0</v>
      </c>
      <c r="S144" s="1338">
        <f t="shared" si="67"/>
        <v>4470391</v>
      </c>
      <c r="T144" s="1341">
        <f t="shared" si="67"/>
        <v>3520031</v>
      </c>
      <c r="U144" s="1340">
        <f t="shared" si="67"/>
        <v>950359</v>
      </c>
      <c r="V144" s="1341">
        <f t="shared" si="67"/>
        <v>2853905</v>
      </c>
      <c r="W144" s="1341">
        <f t="shared" si="67"/>
        <v>0</v>
      </c>
      <c r="X144" s="1340">
        <f t="shared" si="67"/>
        <v>0</v>
      </c>
      <c r="Y144" s="1342">
        <f t="shared" si="67"/>
        <v>904378</v>
      </c>
      <c r="Z144" s="1335">
        <f t="shared" si="67"/>
        <v>712108</v>
      </c>
      <c r="AA144" s="1333">
        <f t="shared" si="67"/>
        <v>192270</v>
      </c>
      <c r="AB144" s="1335">
        <f t="shared" si="67"/>
        <v>904378</v>
      </c>
      <c r="AC144" s="1335">
        <f t="shared" si="67"/>
        <v>0</v>
      </c>
      <c r="AD144" s="1333">
        <f t="shared" si="67"/>
        <v>0</v>
      </c>
    </row>
    <row r="145" spans="1:30" s="293" customFormat="1" ht="14.25" customHeight="1">
      <c r="A145" s="1549"/>
      <c r="B145" s="1537" t="s">
        <v>1161</v>
      </c>
      <c r="C145" s="1538">
        <v>358000</v>
      </c>
      <c r="D145" s="1539">
        <v>282000</v>
      </c>
      <c r="E145" s="1540">
        <v>76000</v>
      </c>
      <c r="F145" s="1539">
        <v>358000</v>
      </c>
      <c r="G145" s="1539">
        <v>0</v>
      </c>
      <c r="H145" s="1539">
        <v>0</v>
      </c>
      <c r="I145" s="1348">
        <f>SUM(L145:N145)</f>
        <v>358000</v>
      </c>
      <c r="J145" s="1348">
        <v>282000</v>
      </c>
      <c r="K145" s="1347">
        <v>76000</v>
      </c>
      <c r="L145" s="1137">
        <v>358000</v>
      </c>
      <c r="M145" s="1137">
        <v>0</v>
      </c>
      <c r="N145" s="1347">
        <v>0</v>
      </c>
      <c r="O145" s="1349">
        <f>SUM(P145:R145)</f>
        <v>0</v>
      </c>
      <c r="P145" s="1252"/>
      <c r="Q145" s="1252"/>
      <c r="R145" s="1252"/>
      <c r="S145" s="1350">
        <f>SUM(V145:Z145)</f>
        <v>1126458</v>
      </c>
      <c r="T145" s="451">
        <f>SUM(S145)/1.27-1</f>
        <v>886974</v>
      </c>
      <c r="U145" s="660">
        <f>SUM(T145)*0.27+1</f>
        <v>239484</v>
      </c>
      <c r="V145" s="451">
        <v>404125</v>
      </c>
      <c r="W145" s="451">
        <f>SUM(M145+Q145)</f>
        <v>0</v>
      </c>
      <c r="X145" s="660">
        <f>SUM(N145+R145)</f>
        <v>0</v>
      </c>
      <c r="Y145" s="1352">
        <v>404125</v>
      </c>
      <c r="Z145" s="1137">
        <v>318208</v>
      </c>
      <c r="AA145" s="1347">
        <v>85917</v>
      </c>
      <c r="AB145" s="1137">
        <f>SUM(Z145:AA145)</f>
        <v>404125</v>
      </c>
      <c r="AC145" s="1137"/>
      <c r="AD145" s="1347"/>
    </row>
    <row r="146" spans="1:30" s="293" customFormat="1" ht="14.25" customHeight="1">
      <c r="A146" s="1549"/>
      <c r="B146" s="1537" t="s">
        <v>1091</v>
      </c>
      <c r="C146" s="1538">
        <v>273000</v>
      </c>
      <c r="D146" s="1539">
        <v>215000</v>
      </c>
      <c r="E146" s="1540">
        <v>58000</v>
      </c>
      <c r="F146" s="1539">
        <v>273000</v>
      </c>
      <c r="G146" s="1539">
        <v>0</v>
      </c>
      <c r="H146" s="1539">
        <v>0</v>
      </c>
      <c r="I146" s="1348">
        <f>SUM(L146:N146)</f>
        <v>273000</v>
      </c>
      <c r="J146" s="1348">
        <v>215000</v>
      </c>
      <c r="K146" s="1347">
        <v>58000</v>
      </c>
      <c r="L146" s="1137">
        <v>273000</v>
      </c>
      <c r="M146" s="1137">
        <v>0</v>
      </c>
      <c r="N146" s="1347">
        <v>0</v>
      </c>
      <c r="O146" s="1349">
        <f>SUM(P146:R146)</f>
        <v>0</v>
      </c>
      <c r="P146" s="1252"/>
      <c r="Q146" s="1252"/>
      <c r="R146" s="1252"/>
      <c r="S146" s="1350">
        <f>SUM(V146:Z146)</f>
        <v>681373</v>
      </c>
      <c r="T146" s="451">
        <f>SUM(S146)/1.27+39</f>
        <v>536553</v>
      </c>
      <c r="U146" s="660">
        <f>SUM(T146)*0.27-50</f>
        <v>144819</v>
      </c>
      <c r="V146" s="451">
        <v>273000</v>
      </c>
      <c r="W146" s="451">
        <f>SUM(M146+Q146)</f>
        <v>0</v>
      </c>
      <c r="X146" s="660">
        <f>SUM(N146+R146)</f>
        <v>0</v>
      </c>
      <c r="Y146" s="1352">
        <v>228473</v>
      </c>
      <c r="Z146" s="1137">
        <v>179900</v>
      </c>
      <c r="AA146" s="1347">
        <v>48573</v>
      </c>
      <c r="AB146" s="1137">
        <f>SUM(Z146:AA146)</f>
        <v>228473</v>
      </c>
      <c r="AC146" s="1137"/>
      <c r="AD146" s="1347"/>
    </row>
    <row r="147" spans="1:30" s="293" customFormat="1" ht="14.25" customHeight="1">
      <c r="A147" s="1549"/>
      <c r="B147" s="1542" t="s">
        <v>1177</v>
      </c>
      <c r="C147" s="1538"/>
      <c r="D147" s="1539"/>
      <c r="E147" s="1540"/>
      <c r="F147" s="1539"/>
      <c r="G147" s="1539"/>
      <c r="H147" s="1539"/>
      <c r="I147" s="1348"/>
      <c r="J147" s="1348"/>
      <c r="K147" s="1347"/>
      <c r="L147" s="1137"/>
      <c r="M147" s="1137"/>
      <c r="N147" s="1347"/>
      <c r="O147" s="1349"/>
      <c r="P147" s="1252"/>
      <c r="Q147" s="1252"/>
      <c r="R147" s="1252"/>
      <c r="S147" s="1350">
        <f>SUM(V147:Z147)</f>
        <v>1905000</v>
      </c>
      <c r="T147" s="451">
        <f>SUM(S147)/1.27</f>
        <v>1500000</v>
      </c>
      <c r="U147" s="660">
        <f>SUM(T147)*0.27</f>
        <v>405000</v>
      </c>
      <c r="V147" s="451">
        <v>1905000</v>
      </c>
      <c r="W147" s="451"/>
      <c r="X147" s="660"/>
      <c r="Y147" s="1352">
        <v>0</v>
      </c>
      <c r="Z147" s="1137">
        <v>0</v>
      </c>
      <c r="AA147" s="1347">
        <v>0</v>
      </c>
      <c r="AB147" s="1137">
        <f>SUM(Z147:AA147)</f>
        <v>0</v>
      </c>
      <c r="AC147" s="1137"/>
      <c r="AD147" s="1347"/>
    </row>
    <row r="148" spans="1:30" s="293" customFormat="1" ht="14.25" customHeight="1">
      <c r="A148" s="1549"/>
      <c r="B148" s="1537" t="s">
        <v>1112</v>
      </c>
      <c r="C148" s="1538">
        <v>0</v>
      </c>
      <c r="D148" s="1539">
        <v>0</v>
      </c>
      <c r="E148" s="1540">
        <v>0</v>
      </c>
      <c r="F148" s="1539">
        <v>0</v>
      </c>
      <c r="G148" s="1539">
        <v>0</v>
      </c>
      <c r="H148" s="1539">
        <v>0</v>
      </c>
      <c r="I148" s="1348">
        <f>SUM(L148:N148)</f>
        <v>317500</v>
      </c>
      <c r="J148" s="1348">
        <f>SUM(I148)/1.27</f>
        <v>250000</v>
      </c>
      <c r="K148" s="1347">
        <f>SUM(J148)*0.27</f>
        <v>67500</v>
      </c>
      <c r="L148" s="1137">
        <v>317500</v>
      </c>
      <c r="M148" s="1137">
        <v>0</v>
      </c>
      <c r="N148" s="1347">
        <v>0</v>
      </c>
      <c r="O148" s="1349">
        <f>SUM(P148:R148)</f>
        <v>0</v>
      </c>
      <c r="P148" s="1252"/>
      <c r="Q148" s="1252"/>
      <c r="R148" s="1252"/>
      <c r="S148" s="1350">
        <f>SUM(V148:Z148)</f>
        <v>757560</v>
      </c>
      <c r="T148" s="451">
        <f>SUM(S148)/1.27</f>
        <v>596504</v>
      </c>
      <c r="U148" s="660">
        <f>SUM(T148)*0.27</f>
        <v>161056</v>
      </c>
      <c r="V148" s="451">
        <v>271780</v>
      </c>
      <c r="W148" s="451">
        <f>SUM(M148+Q148)</f>
        <v>0</v>
      </c>
      <c r="X148" s="660">
        <f>SUM(N148+R148)</f>
        <v>0</v>
      </c>
      <c r="Y148" s="1352">
        <v>271780</v>
      </c>
      <c r="Z148" s="1137">
        <v>214000</v>
      </c>
      <c r="AA148" s="1347">
        <v>57780</v>
      </c>
      <c r="AB148" s="1137">
        <f>SUM(Z148:AA148)</f>
        <v>271780</v>
      </c>
      <c r="AC148" s="1137"/>
      <c r="AD148" s="1347"/>
    </row>
    <row r="149" spans="1:30" s="293" customFormat="1" ht="12" customHeight="1">
      <c r="A149" s="1549"/>
      <c r="B149" s="1537"/>
      <c r="C149" s="1538"/>
      <c r="D149" s="1539"/>
      <c r="E149" s="1540"/>
      <c r="F149" s="1539"/>
      <c r="G149" s="1539"/>
      <c r="H149" s="1539"/>
      <c r="I149" s="1348"/>
      <c r="J149" s="1348"/>
      <c r="K149" s="1347"/>
      <c r="L149" s="1137"/>
      <c r="M149" s="1137"/>
      <c r="N149" s="1347"/>
      <c r="O149" s="1372"/>
      <c r="P149" s="451"/>
      <c r="Q149" s="451"/>
      <c r="R149" s="451"/>
      <c r="S149" s="1350"/>
      <c r="T149" s="451"/>
      <c r="U149" s="660"/>
      <c r="V149" s="451"/>
      <c r="W149" s="451"/>
      <c r="X149" s="660"/>
      <c r="Y149" s="1352"/>
      <c r="Z149" s="1137"/>
      <c r="AA149" s="1347"/>
      <c r="AB149" s="1137"/>
      <c r="AC149" s="1137"/>
      <c r="AD149" s="1347"/>
    </row>
    <row r="150" spans="1:30" s="293" customFormat="1" ht="14.25" customHeight="1">
      <c r="A150" s="1532" t="s">
        <v>175</v>
      </c>
      <c r="B150" s="1533"/>
      <c r="C150" s="1534">
        <f t="shared" ref="C150:H150" si="68">SUM(C151:C154)</f>
        <v>2854000</v>
      </c>
      <c r="D150" s="1535">
        <f t="shared" si="68"/>
        <v>2247000</v>
      </c>
      <c r="E150" s="1536">
        <f t="shared" si="68"/>
        <v>607000</v>
      </c>
      <c r="F150" s="1535">
        <f t="shared" si="68"/>
        <v>2854000</v>
      </c>
      <c r="G150" s="1535">
        <f t="shared" si="68"/>
        <v>0</v>
      </c>
      <c r="H150" s="1535">
        <f t="shared" si="68"/>
        <v>0</v>
      </c>
      <c r="I150" s="1334">
        <f t="shared" ref="I150:N150" si="69">SUM(I151:I155)</f>
        <v>6664000</v>
      </c>
      <c r="J150" s="1334">
        <f t="shared" si="69"/>
        <v>5247000</v>
      </c>
      <c r="K150" s="1333">
        <f t="shared" si="69"/>
        <v>1417000</v>
      </c>
      <c r="L150" s="1335">
        <f t="shared" si="69"/>
        <v>6664000</v>
      </c>
      <c r="M150" s="1335">
        <f t="shared" si="69"/>
        <v>0</v>
      </c>
      <c r="N150" s="1333">
        <f t="shared" si="69"/>
        <v>0</v>
      </c>
      <c r="O150" s="1336">
        <f t="shared" ref="O150:AD150" si="70">SUM(O151:O154)</f>
        <v>0</v>
      </c>
      <c r="P150" s="1337">
        <f t="shared" si="70"/>
        <v>0</v>
      </c>
      <c r="Q150" s="1337">
        <f t="shared" si="70"/>
        <v>0</v>
      </c>
      <c r="R150" s="1337">
        <f t="shared" si="70"/>
        <v>0</v>
      </c>
      <c r="S150" s="1338">
        <f t="shared" si="70"/>
        <v>17775063</v>
      </c>
      <c r="T150" s="1341">
        <f t="shared" si="70"/>
        <v>13996152</v>
      </c>
      <c r="U150" s="1340">
        <f t="shared" si="70"/>
        <v>3778910</v>
      </c>
      <c r="V150" s="1341">
        <f t="shared" si="70"/>
        <v>6873388</v>
      </c>
      <c r="W150" s="1341">
        <f t="shared" si="70"/>
        <v>0</v>
      </c>
      <c r="X150" s="1340">
        <f t="shared" si="70"/>
        <v>0</v>
      </c>
      <c r="Y150" s="1342">
        <f t="shared" si="70"/>
        <v>6808274</v>
      </c>
      <c r="Z150" s="1335">
        <f t="shared" si="70"/>
        <v>5360846</v>
      </c>
      <c r="AA150" s="1333">
        <f t="shared" si="70"/>
        <v>1447428</v>
      </c>
      <c r="AB150" s="1335">
        <f t="shared" si="70"/>
        <v>6808274</v>
      </c>
      <c r="AC150" s="1335">
        <f t="shared" si="70"/>
        <v>0</v>
      </c>
      <c r="AD150" s="1333">
        <f t="shared" si="70"/>
        <v>0</v>
      </c>
    </row>
    <row r="151" spans="1:30" s="293" customFormat="1" ht="14.25" customHeight="1">
      <c r="A151" s="1549"/>
      <c r="B151" s="1537" t="s">
        <v>1161</v>
      </c>
      <c r="C151" s="1538">
        <v>422000</v>
      </c>
      <c r="D151" s="1539">
        <v>332000</v>
      </c>
      <c r="E151" s="1540">
        <v>90000</v>
      </c>
      <c r="F151" s="1539">
        <v>422000</v>
      </c>
      <c r="G151" s="1539">
        <v>0</v>
      </c>
      <c r="H151" s="1539">
        <v>0</v>
      </c>
      <c r="I151" s="1348">
        <f>SUM(L151:N151)</f>
        <v>422000</v>
      </c>
      <c r="J151" s="1348">
        <v>332000</v>
      </c>
      <c r="K151" s="1347">
        <v>90000</v>
      </c>
      <c r="L151" s="1137">
        <v>422000</v>
      </c>
      <c r="M151" s="1137">
        <v>0</v>
      </c>
      <c r="N151" s="1347">
        <v>0</v>
      </c>
      <c r="O151" s="1349">
        <f>SUM(P151:R151)</f>
        <v>0</v>
      </c>
      <c r="P151" s="1252"/>
      <c r="Q151" s="1252"/>
      <c r="R151" s="1252"/>
      <c r="S151" s="1350">
        <f>SUM(V151:X151)</f>
        <v>729686</v>
      </c>
      <c r="T151" s="451">
        <f>SUM(S151)/1.27</f>
        <v>574556</v>
      </c>
      <c r="U151" s="660">
        <f>SUM(T151)*0.27</f>
        <v>155130</v>
      </c>
      <c r="V151" s="451">
        <v>729686</v>
      </c>
      <c r="W151" s="451">
        <f t="shared" ref="W151:X154" si="71">SUM(M151+Q151)</f>
        <v>0</v>
      </c>
      <c r="X151" s="660">
        <f t="shared" si="71"/>
        <v>0</v>
      </c>
      <c r="Y151" s="1352">
        <v>709099</v>
      </c>
      <c r="Z151" s="1137">
        <v>558346</v>
      </c>
      <c r="AA151" s="1347">
        <v>150753</v>
      </c>
      <c r="AB151" s="1137">
        <f>SUM(Z151:AA151)</f>
        <v>709099</v>
      </c>
      <c r="AC151" s="1137"/>
      <c r="AD151" s="1347"/>
    </row>
    <row r="152" spans="1:30" s="293" customFormat="1" ht="14.25" customHeight="1">
      <c r="A152" s="1549"/>
      <c r="B152" s="1537" t="s">
        <v>1091</v>
      </c>
      <c r="C152" s="1538">
        <v>273000</v>
      </c>
      <c r="D152" s="1539">
        <v>215000</v>
      </c>
      <c r="E152" s="1540">
        <v>58000</v>
      </c>
      <c r="F152" s="1539">
        <v>273000</v>
      </c>
      <c r="G152" s="1539">
        <v>0</v>
      </c>
      <c r="H152" s="1539">
        <v>0</v>
      </c>
      <c r="I152" s="1348">
        <f>SUM(L152:N152)</f>
        <v>273000</v>
      </c>
      <c r="J152" s="1348">
        <v>215000</v>
      </c>
      <c r="K152" s="1347">
        <v>58000</v>
      </c>
      <c r="L152" s="1137">
        <v>273000</v>
      </c>
      <c r="M152" s="1137">
        <v>0</v>
      </c>
      <c r="N152" s="1347">
        <v>0</v>
      </c>
      <c r="O152" s="1349">
        <f>SUM(P152:R152)</f>
        <v>0</v>
      </c>
      <c r="P152" s="1252"/>
      <c r="Q152" s="1252"/>
      <c r="R152" s="1252"/>
      <c r="S152" s="1350">
        <f>SUM(V152:Z152)</f>
        <v>681373</v>
      </c>
      <c r="T152" s="451">
        <f>SUM(S152)/1.27+39</f>
        <v>536553</v>
      </c>
      <c r="U152" s="660">
        <f>SUM(T152)*0.27-50</f>
        <v>144819</v>
      </c>
      <c r="V152" s="451">
        <f>SUM(L152+P152)</f>
        <v>273000</v>
      </c>
      <c r="W152" s="451">
        <f t="shared" si="71"/>
        <v>0</v>
      </c>
      <c r="X152" s="660">
        <f t="shared" si="71"/>
        <v>0</v>
      </c>
      <c r="Y152" s="1352">
        <v>228473</v>
      </c>
      <c r="Z152" s="1137">
        <v>179900</v>
      </c>
      <c r="AA152" s="1347">
        <v>48573</v>
      </c>
      <c r="AB152" s="1137">
        <f>SUM(Z152:AA152)</f>
        <v>228473</v>
      </c>
      <c r="AC152" s="1137"/>
      <c r="AD152" s="1347"/>
    </row>
    <row r="153" spans="1:30" s="293" customFormat="1" ht="14.25" customHeight="1">
      <c r="A153" s="1549"/>
      <c r="B153" s="1537" t="s">
        <v>1178</v>
      </c>
      <c r="C153" s="1538">
        <v>2159000</v>
      </c>
      <c r="D153" s="1539">
        <v>1700000</v>
      </c>
      <c r="E153" s="1540">
        <v>459000</v>
      </c>
      <c r="F153" s="1539">
        <v>2159000</v>
      </c>
      <c r="G153" s="1539">
        <v>0</v>
      </c>
      <c r="H153" s="1539">
        <v>0</v>
      </c>
      <c r="I153" s="1348">
        <f>SUM(L153:N153)</f>
        <v>2159000</v>
      </c>
      <c r="J153" s="1348">
        <f>SUM(I153)/1.27</f>
        <v>1700000</v>
      </c>
      <c r="K153" s="1347">
        <f>SUM(J153)*0.27</f>
        <v>459000</v>
      </c>
      <c r="L153" s="1137">
        <v>2159000</v>
      </c>
      <c r="M153" s="1137">
        <v>0</v>
      </c>
      <c r="N153" s="1347">
        <v>0</v>
      </c>
      <c r="O153" s="1349">
        <f>SUM(P153:R153)</f>
        <v>0</v>
      </c>
      <c r="P153" s="1252"/>
      <c r="Q153" s="1252"/>
      <c r="R153" s="1252"/>
      <c r="S153" s="1350">
        <f>SUM(V153:Z153)</f>
        <v>6018000</v>
      </c>
      <c r="T153" s="451">
        <f>SUM(S153)/1.27</f>
        <v>4738583</v>
      </c>
      <c r="U153" s="660">
        <f>SUM(T153)*0.27</f>
        <v>1279417</v>
      </c>
      <c r="V153" s="451">
        <f>SUM(L153+P153)</f>
        <v>2159000</v>
      </c>
      <c r="W153" s="451">
        <f t="shared" si="71"/>
        <v>0</v>
      </c>
      <c r="X153" s="660">
        <f t="shared" si="71"/>
        <v>0</v>
      </c>
      <c r="Y153" s="1352">
        <v>2159000</v>
      </c>
      <c r="Z153" s="1137">
        <v>1700000</v>
      </c>
      <c r="AA153" s="1347">
        <v>459000</v>
      </c>
      <c r="AB153" s="1137">
        <f>SUM(Z153:AA153)</f>
        <v>2159000</v>
      </c>
      <c r="AC153" s="1137"/>
      <c r="AD153" s="1347"/>
    </row>
    <row r="154" spans="1:30" s="293" customFormat="1" ht="15.75" customHeight="1">
      <c r="A154" s="1549"/>
      <c r="B154" s="1537" t="s">
        <v>1112</v>
      </c>
      <c r="C154" s="1538">
        <v>0</v>
      </c>
      <c r="D154" s="1539">
        <v>0</v>
      </c>
      <c r="E154" s="1540">
        <v>0</v>
      </c>
      <c r="F154" s="1539"/>
      <c r="G154" s="1539"/>
      <c r="H154" s="1539"/>
      <c r="I154" s="1348">
        <f>SUM(L154:N154)</f>
        <v>3810000</v>
      </c>
      <c r="J154" s="1348">
        <f>SUM(I154)/1.27</f>
        <v>3000000</v>
      </c>
      <c r="K154" s="1347">
        <f>SUM(J154)*0.27</f>
        <v>810000</v>
      </c>
      <c r="L154" s="1137">
        <v>3810000</v>
      </c>
      <c r="M154" s="1137"/>
      <c r="N154" s="1347"/>
      <c r="O154" s="1349">
        <f>SUM(P154:R154)</f>
        <v>0</v>
      </c>
      <c r="P154" s="1252"/>
      <c r="Q154" s="1252"/>
      <c r="R154" s="1252"/>
      <c r="S154" s="1350">
        <f>SUM(V154:Z154)</f>
        <v>10346004</v>
      </c>
      <c r="T154" s="451">
        <f>SUM(S154)/1.27</f>
        <v>8146460</v>
      </c>
      <c r="U154" s="660">
        <f>SUM(T154)*0.27</f>
        <v>2199544</v>
      </c>
      <c r="V154" s="451">
        <v>3711702</v>
      </c>
      <c r="W154" s="451">
        <f t="shared" si="71"/>
        <v>0</v>
      </c>
      <c r="X154" s="660">
        <f t="shared" si="71"/>
        <v>0</v>
      </c>
      <c r="Y154" s="1352">
        <v>3711702</v>
      </c>
      <c r="Z154" s="1137">
        <v>2922600</v>
      </c>
      <c r="AA154" s="1347">
        <v>789102</v>
      </c>
      <c r="AB154" s="1137">
        <f>SUM(Z154:AA154)</f>
        <v>3711702</v>
      </c>
      <c r="AC154" s="1137"/>
      <c r="AD154" s="1347"/>
    </row>
    <row r="155" spans="1:30" s="293" customFormat="1" ht="12" customHeight="1">
      <c r="A155" s="1549"/>
      <c r="B155" s="1537"/>
      <c r="C155" s="1538"/>
      <c r="D155" s="1539"/>
      <c r="E155" s="1540"/>
      <c r="F155" s="1539"/>
      <c r="G155" s="1539"/>
      <c r="H155" s="1539"/>
      <c r="I155" s="1348"/>
      <c r="J155" s="1348"/>
      <c r="K155" s="1347"/>
      <c r="L155" s="1137"/>
      <c r="M155" s="1137"/>
      <c r="N155" s="1347"/>
      <c r="O155" s="1372"/>
      <c r="P155" s="451"/>
      <c r="Q155" s="451"/>
      <c r="R155" s="451"/>
      <c r="S155" s="1350"/>
      <c r="T155" s="451"/>
      <c r="U155" s="660"/>
      <c r="V155" s="451"/>
      <c r="W155" s="451"/>
      <c r="X155" s="660"/>
      <c r="Y155" s="1352"/>
      <c r="Z155" s="1137"/>
      <c r="AA155" s="1347"/>
      <c r="AB155" s="1137"/>
      <c r="AC155" s="1137"/>
      <c r="AD155" s="1347"/>
    </row>
    <row r="156" spans="1:30" s="293" customFormat="1" ht="14.25" customHeight="1">
      <c r="A156" s="1532" t="s">
        <v>176</v>
      </c>
      <c r="B156" s="1533"/>
      <c r="C156" s="1534">
        <f t="shared" ref="C156:AD156" si="72">SUM(C157:C162)</f>
        <v>963000</v>
      </c>
      <c r="D156" s="1535">
        <f t="shared" si="72"/>
        <v>758000</v>
      </c>
      <c r="E156" s="1536">
        <f t="shared" si="72"/>
        <v>205000</v>
      </c>
      <c r="F156" s="1535">
        <f t="shared" si="72"/>
        <v>963000</v>
      </c>
      <c r="G156" s="1535">
        <f t="shared" si="72"/>
        <v>0</v>
      </c>
      <c r="H156" s="1535">
        <f t="shared" si="72"/>
        <v>0</v>
      </c>
      <c r="I156" s="1334">
        <f t="shared" si="72"/>
        <v>1153500</v>
      </c>
      <c r="J156" s="1334">
        <f t="shared" si="72"/>
        <v>908000</v>
      </c>
      <c r="K156" s="1333">
        <f t="shared" si="72"/>
        <v>245500</v>
      </c>
      <c r="L156" s="1335">
        <f t="shared" si="72"/>
        <v>1153500</v>
      </c>
      <c r="M156" s="1335">
        <f t="shared" si="72"/>
        <v>0</v>
      </c>
      <c r="N156" s="1333">
        <f t="shared" si="72"/>
        <v>0</v>
      </c>
      <c r="O156" s="1336">
        <f t="shared" si="72"/>
        <v>1905000</v>
      </c>
      <c r="P156" s="1337">
        <f t="shared" si="72"/>
        <v>1905000</v>
      </c>
      <c r="Q156" s="1337">
        <f t="shared" si="72"/>
        <v>0</v>
      </c>
      <c r="R156" s="1337">
        <f t="shared" si="72"/>
        <v>0</v>
      </c>
      <c r="S156" s="1338">
        <f t="shared" si="72"/>
        <v>7230523</v>
      </c>
      <c r="T156" s="1341">
        <f t="shared" si="72"/>
        <v>5693403</v>
      </c>
      <c r="U156" s="1340">
        <f t="shared" si="72"/>
        <v>1537120</v>
      </c>
      <c r="V156" s="1341">
        <f t="shared" si="72"/>
        <v>3138621</v>
      </c>
      <c r="W156" s="1341">
        <f t="shared" si="72"/>
        <v>0</v>
      </c>
      <c r="X156" s="1340">
        <f t="shared" si="72"/>
        <v>0</v>
      </c>
      <c r="Y156" s="1342">
        <f t="shared" si="72"/>
        <v>3031569</v>
      </c>
      <c r="Z156" s="1335">
        <f t="shared" si="72"/>
        <v>2387061</v>
      </c>
      <c r="AA156" s="1333">
        <f t="shared" si="72"/>
        <v>644508</v>
      </c>
      <c r="AB156" s="1335">
        <f t="shared" si="72"/>
        <v>3031569</v>
      </c>
      <c r="AC156" s="1335">
        <f t="shared" si="72"/>
        <v>0</v>
      </c>
      <c r="AD156" s="1333">
        <f t="shared" si="72"/>
        <v>0</v>
      </c>
    </row>
    <row r="157" spans="1:30" s="293" customFormat="1" ht="15" customHeight="1">
      <c r="A157" s="1549"/>
      <c r="B157" s="1537" t="s">
        <v>1161</v>
      </c>
      <c r="C157" s="1538">
        <v>417000</v>
      </c>
      <c r="D157" s="1539">
        <v>328000</v>
      </c>
      <c r="E157" s="1540">
        <v>89000</v>
      </c>
      <c r="F157" s="1539">
        <v>417000</v>
      </c>
      <c r="G157" s="1539">
        <v>0</v>
      </c>
      <c r="H157" s="1539">
        <v>0</v>
      </c>
      <c r="I157" s="1348">
        <f>SUM(L157:N157)</f>
        <v>417000</v>
      </c>
      <c r="J157" s="1348">
        <v>328000</v>
      </c>
      <c r="K157" s="1347">
        <v>89000</v>
      </c>
      <c r="L157" s="1137">
        <v>417000</v>
      </c>
      <c r="M157" s="1137">
        <v>0</v>
      </c>
      <c r="N157" s="1347">
        <v>0</v>
      </c>
      <c r="O157" s="1349">
        <f>SUM(P157:R157)</f>
        <v>0</v>
      </c>
      <c r="P157" s="1252"/>
      <c r="Q157" s="1252"/>
      <c r="R157" s="1252"/>
      <c r="S157" s="1350">
        <f>SUM(V157:X157)</f>
        <v>760267</v>
      </c>
      <c r="T157" s="451">
        <f>SUM(S157)/1.27-1</f>
        <v>598634</v>
      </c>
      <c r="U157" s="660">
        <f>SUM(T157)*0.27+2</f>
        <v>161633</v>
      </c>
      <c r="V157" s="451">
        <v>760267</v>
      </c>
      <c r="W157" s="451">
        <f t="shared" ref="W157:X159" si="73">SUM(M157+Q157)</f>
        <v>0</v>
      </c>
      <c r="X157" s="660">
        <f t="shared" si="73"/>
        <v>0</v>
      </c>
      <c r="Y157" s="1352">
        <v>742267</v>
      </c>
      <c r="Z157" s="1137">
        <v>584461</v>
      </c>
      <c r="AA157" s="1347">
        <v>157806</v>
      </c>
      <c r="AB157" s="1137">
        <f>SUM(Z157:AA157)</f>
        <v>742267</v>
      </c>
      <c r="AC157" s="1137"/>
      <c r="AD157" s="1347"/>
    </row>
    <row r="158" spans="1:30" s="293" customFormat="1" ht="15" customHeight="1">
      <c r="A158" s="1549"/>
      <c r="B158" s="1537" t="s">
        <v>1091</v>
      </c>
      <c r="C158" s="1538">
        <v>546000</v>
      </c>
      <c r="D158" s="1539">
        <v>430000</v>
      </c>
      <c r="E158" s="1540">
        <v>116000</v>
      </c>
      <c r="F158" s="1539">
        <v>546000</v>
      </c>
      <c r="G158" s="1539">
        <v>0</v>
      </c>
      <c r="H158" s="1539">
        <v>0</v>
      </c>
      <c r="I158" s="1348">
        <f>SUM(L158:N158)</f>
        <v>546000</v>
      </c>
      <c r="J158" s="1348">
        <v>430000</v>
      </c>
      <c r="K158" s="1347">
        <v>116000</v>
      </c>
      <c r="L158" s="1137">
        <v>546000</v>
      </c>
      <c r="M158" s="1137">
        <v>0</v>
      </c>
      <c r="N158" s="1347">
        <v>0</v>
      </c>
      <c r="O158" s="1349">
        <f>SUM(P158:R158)</f>
        <v>0</v>
      </c>
      <c r="P158" s="1252"/>
      <c r="Q158" s="1252"/>
      <c r="R158" s="1252"/>
      <c r="S158" s="1350">
        <f>SUM(V158:Z158)</f>
        <v>1362744</v>
      </c>
      <c r="T158" s="451">
        <f>SUM(S158)/1.27+79</f>
        <v>1073106</v>
      </c>
      <c r="U158" s="660">
        <f>SUM(T158)*0.27-101</f>
        <v>289638</v>
      </c>
      <c r="V158" s="451">
        <v>545998</v>
      </c>
      <c r="W158" s="451">
        <f t="shared" si="73"/>
        <v>0</v>
      </c>
      <c r="X158" s="660">
        <f t="shared" si="73"/>
        <v>0</v>
      </c>
      <c r="Y158" s="1352">
        <v>456946</v>
      </c>
      <c r="Z158" s="1137">
        <v>359800</v>
      </c>
      <c r="AA158" s="1347">
        <v>97146</v>
      </c>
      <c r="AB158" s="1137">
        <f>SUM(Z158:AA158)</f>
        <v>456946</v>
      </c>
      <c r="AC158" s="1137"/>
      <c r="AD158" s="1347"/>
    </row>
    <row r="159" spans="1:30" s="293" customFormat="1" ht="14.25" customHeight="1">
      <c r="A159" s="1555"/>
      <c r="B159" s="1537" t="s">
        <v>1112</v>
      </c>
      <c r="C159" s="1538">
        <v>0</v>
      </c>
      <c r="D159" s="1539">
        <v>0</v>
      </c>
      <c r="E159" s="1540">
        <v>0</v>
      </c>
      <c r="F159" s="1539"/>
      <c r="G159" s="1539"/>
      <c r="H159" s="1539">
        <v>0</v>
      </c>
      <c r="I159" s="1348">
        <f>SUM(L159:N159)</f>
        <v>190500</v>
      </c>
      <c r="J159" s="1348">
        <f>SUM(I159)/1.27</f>
        <v>150000</v>
      </c>
      <c r="K159" s="1347">
        <f>SUM(J159)*0.27</f>
        <v>40500</v>
      </c>
      <c r="L159" s="1137">
        <v>190500</v>
      </c>
      <c r="M159" s="1137"/>
      <c r="N159" s="1347">
        <v>0</v>
      </c>
      <c r="O159" s="1349">
        <f>SUM(P159:R159)</f>
        <v>0</v>
      </c>
      <c r="P159" s="1252"/>
      <c r="Q159" s="1252"/>
      <c r="R159" s="1252"/>
      <c r="S159" s="1350">
        <f>SUM(V159:Z159)</f>
        <v>342672</v>
      </c>
      <c r="T159" s="451">
        <f>SUM(S159)/1.27</f>
        <v>269820</v>
      </c>
      <c r="U159" s="660">
        <f>SUM(T159)*0.27</f>
        <v>72851</v>
      </c>
      <c r="V159" s="451">
        <v>122936</v>
      </c>
      <c r="W159" s="451">
        <f t="shared" si="73"/>
        <v>0</v>
      </c>
      <c r="X159" s="660">
        <f t="shared" si="73"/>
        <v>0</v>
      </c>
      <c r="Y159" s="1352">
        <v>122936</v>
      </c>
      <c r="Z159" s="1137">
        <v>96800</v>
      </c>
      <c r="AA159" s="1347">
        <v>26136</v>
      </c>
      <c r="AB159" s="1137">
        <f>SUM(Z159:AA159)</f>
        <v>122936</v>
      </c>
      <c r="AC159" s="1137"/>
      <c r="AD159" s="1347"/>
    </row>
    <row r="160" spans="1:30" s="293" customFormat="1" ht="14.25" customHeight="1">
      <c r="A160" s="1555"/>
      <c r="B160" s="1537" t="s">
        <v>1179</v>
      </c>
      <c r="C160" s="1538"/>
      <c r="D160" s="1539"/>
      <c r="E160" s="1540"/>
      <c r="F160" s="1539"/>
      <c r="G160" s="1539"/>
      <c r="H160" s="1539"/>
      <c r="I160" s="1348"/>
      <c r="J160" s="1348"/>
      <c r="K160" s="1347"/>
      <c r="L160" s="1137"/>
      <c r="M160" s="1137"/>
      <c r="N160" s="1347"/>
      <c r="O160" s="1349">
        <f>SUM(P160:R160)</f>
        <v>1905000</v>
      </c>
      <c r="P160" s="1252">
        <v>1905000</v>
      </c>
      <c r="Q160" s="1252"/>
      <c r="R160" s="1252"/>
      <c r="S160" s="1350">
        <f>SUM(V160:Z160)</f>
        <v>4764840</v>
      </c>
      <c r="T160" s="451">
        <f>SUM(S160)/1.27</f>
        <v>3751843</v>
      </c>
      <c r="U160" s="660">
        <f>SUM(T160)*0.27</f>
        <v>1012998</v>
      </c>
      <c r="V160" s="451">
        <v>1709420</v>
      </c>
      <c r="W160" s="451"/>
      <c r="X160" s="660"/>
      <c r="Y160" s="1352">
        <v>1709420</v>
      </c>
      <c r="Z160" s="1137">
        <v>1346000</v>
      </c>
      <c r="AA160" s="1347">
        <v>363420</v>
      </c>
      <c r="AB160" s="1137">
        <f>SUM(Z160:AA160)</f>
        <v>1709420</v>
      </c>
      <c r="AC160" s="1137"/>
      <c r="AD160" s="1347"/>
    </row>
    <row r="161" spans="1:30" s="293" customFormat="1" ht="14.25" hidden="1" customHeight="1">
      <c r="A161" s="1782" t="s">
        <v>1180</v>
      </c>
      <c r="B161" s="1782"/>
      <c r="C161" s="1561"/>
      <c r="D161" s="1562"/>
      <c r="E161" s="1563"/>
      <c r="F161" s="1562"/>
      <c r="G161" s="1562"/>
      <c r="H161" s="1562"/>
      <c r="I161" s="1348"/>
      <c r="J161" s="1348"/>
      <c r="K161" s="1347"/>
      <c r="L161" s="1137"/>
      <c r="M161" s="1137"/>
      <c r="N161" s="1347"/>
      <c r="O161" s="1372"/>
      <c r="P161" s="451"/>
      <c r="Q161" s="451"/>
      <c r="R161" s="451"/>
      <c r="S161" s="1350"/>
      <c r="T161" s="451"/>
      <c r="U161" s="660"/>
      <c r="V161" s="451"/>
      <c r="W161" s="451"/>
      <c r="X161" s="660">
        <f>SUM(N161+R161)</f>
        <v>0</v>
      </c>
      <c r="Y161" s="1352"/>
      <c r="Z161" s="1137"/>
      <c r="AA161" s="1347"/>
      <c r="AB161" s="1137"/>
      <c r="AC161" s="1137"/>
      <c r="AD161" s="1347">
        <f>SUM(T161+X161)</f>
        <v>0</v>
      </c>
    </row>
    <row r="162" spans="1:30" s="293" customFormat="1" ht="12" hidden="1" customHeight="1">
      <c r="A162" s="1555"/>
      <c r="B162" s="1537"/>
      <c r="C162" s="1538"/>
      <c r="D162" s="1539"/>
      <c r="E162" s="1540"/>
      <c r="F162" s="1539"/>
      <c r="G162" s="1539"/>
      <c r="H162" s="1539"/>
      <c r="I162" s="1348"/>
      <c r="J162" s="1348"/>
      <c r="K162" s="1347"/>
      <c r="L162" s="1137"/>
      <c r="M162" s="1137"/>
      <c r="N162" s="1347"/>
      <c r="O162" s="1372"/>
      <c r="P162" s="451"/>
      <c r="Q162" s="451"/>
      <c r="R162" s="451"/>
      <c r="S162" s="1350"/>
      <c r="T162" s="451"/>
      <c r="U162" s="660"/>
      <c r="V162" s="451"/>
      <c r="W162" s="451"/>
      <c r="X162" s="660">
        <f>SUM(N162+R162)</f>
        <v>0</v>
      </c>
      <c r="Y162" s="1352"/>
      <c r="Z162" s="1137"/>
      <c r="AA162" s="1347"/>
      <c r="AB162" s="1137"/>
      <c r="AC162" s="1137"/>
      <c r="AD162" s="1347">
        <f>SUM(T162+X162)</f>
        <v>0</v>
      </c>
    </row>
    <row r="163" spans="1:30" s="293" customFormat="1" ht="12" hidden="1" customHeight="1">
      <c r="A163" s="1555"/>
      <c r="B163" s="1537"/>
      <c r="C163" s="1538"/>
      <c r="D163" s="1539"/>
      <c r="E163" s="1540"/>
      <c r="F163" s="1539"/>
      <c r="G163" s="1539"/>
      <c r="H163" s="1539"/>
      <c r="I163" s="1348"/>
      <c r="J163" s="1348"/>
      <c r="K163" s="1347"/>
      <c r="L163" s="1137"/>
      <c r="M163" s="1137"/>
      <c r="N163" s="1347"/>
      <c r="O163" s="1372"/>
      <c r="P163" s="451"/>
      <c r="Q163" s="451"/>
      <c r="R163" s="451"/>
      <c r="S163" s="1350"/>
      <c r="T163" s="451"/>
      <c r="U163" s="660"/>
      <c r="V163" s="451"/>
      <c r="W163" s="451"/>
      <c r="X163" s="660"/>
      <c r="Y163" s="1352"/>
      <c r="Z163" s="1137"/>
      <c r="AA163" s="1347"/>
      <c r="AB163" s="1137"/>
      <c r="AC163" s="1137"/>
      <c r="AD163" s="1347"/>
    </row>
    <row r="164" spans="1:30" s="293" customFormat="1" ht="12" customHeight="1">
      <c r="A164" s="1555"/>
      <c r="B164" s="1537"/>
      <c r="C164" s="1538"/>
      <c r="D164" s="1539"/>
      <c r="E164" s="1540"/>
      <c r="F164" s="1539"/>
      <c r="G164" s="1539"/>
      <c r="H164" s="1539"/>
      <c r="I164" s="1348"/>
      <c r="J164" s="1348"/>
      <c r="K164" s="1347"/>
      <c r="L164" s="1137"/>
      <c r="M164" s="1137"/>
      <c r="N164" s="1347"/>
      <c r="O164" s="1372"/>
      <c r="P164" s="451"/>
      <c r="Q164" s="451"/>
      <c r="R164" s="451"/>
      <c r="S164" s="1350"/>
      <c r="T164" s="451"/>
      <c r="U164" s="660"/>
      <c r="V164" s="451"/>
      <c r="W164" s="451"/>
      <c r="X164" s="660"/>
      <c r="Y164" s="1352"/>
      <c r="Z164" s="1137"/>
      <c r="AA164" s="1347"/>
      <c r="AB164" s="1137"/>
      <c r="AC164" s="1137"/>
      <c r="AD164" s="1347"/>
    </row>
    <row r="165" spans="1:30" s="293" customFormat="1" ht="14.25" customHeight="1">
      <c r="A165" s="1532" t="s">
        <v>659</v>
      </c>
      <c r="B165" s="1533"/>
      <c r="C165" s="1534">
        <f t="shared" ref="C165:R165" si="74">SUM(C166:C218)</f>
        <v>63170000</v>
      </c>
      <c r="D165" s="1535">
        <f t="shared" si="74"/>
        <v>49740000</v>
      </c>
      <c r="E165" s="1536">
        <f t="shared" si="74"/>
        <v>13430000</v>
      </c>
      <c r="F165" s="1535">
        <f t="shared" si="74"/>
        <v>63170000</v>
      </c>
      <c r="G165" s="1535">
        <f t="shared" si="74"/>
        <v>0</v>
      </c>
      <c r="H165" s="1535">
        <f t="shared" si="74"/>
        <v>0</v>
      </c>
      <c r="I165" s="1334">
        <f t="shared" si="74"/>
        <v>90473872</v>
      </c>
      <c r="J165" s="1334">
        <f t="shared" si="74"/>
        <v>71239112</v>
      </c>
      <c r="K165" s="1333">
        <f t="shared" si="74"/>
        <v>19234760</v>
      </c>
      <c r="L165" s="1335">
        <f t="shared" si="74"/>
        <v>84577942</v>
      </c>
      <c r="M165" s="1335">
        <f t="shared" si="74"/>
        <v>5895930</v>
      </c>
      <c r="N165" s="1333">
        <f t="shared" si="74"/>
        <v>0</v>
      </c>
      <c r="O165" s="1336">
        <f t="shared" si="74"/>
        <v>-12611914</v>
      </c>
      <c r="P165" s="1337">
        <f t="shared" si="74"/>
        <v>-12611914</v>
      </c>
      <c r="Q165" s="1337">
        <f t="shared" si="74"/>
        <v>0</v>
      </c>
      <c r="R165" s="1337">
        <f t="shared" si="74"/>
        <v>0</v>
      </c>
      <c r="S165" s="1338">
        <f>SUM(S169:S249)</f>
        <v>82146710</v>
      </c>
      <c r="T165" s="1341">
        <f>SUM(T169:T248)</f>
        <v>64682292</v>
      </c>
      <c r="U165" s="1340">
        <f>SUM(U169:U248)</f>
        <v>17464418</v>
      </c>
      <c r="V165" s="1341">
        <f>SUM(V166:V248)</f>
        <v>76353376</v>
      </c>
      <c r="W165" s="1341">
        <f>SUM(W166:W248)</f>
        <v>5793334</v>
      </c>
      <c r="X165" s="1340">
        <f>SUM(X166:X218)</f>
        <v>0</v>
      </c>
      <c r="Y165" s="1342">
        <f t="shared" ref="Y165:AD165" si="75">SUM(Y169:Y248)</f>
        <v>67100224</v>
      </c>
      <c r="Z165" s="1335">
        <f t="shared" si="75"/>
        <v>52836084</v>
      </c>
      <c r="AA165" s="1333">
        <f t="shared" si="75"/>
        <v>14264140</v>
      </c>
      <c r="AB165" s="1335">
        <f t="shared" si="75"/>
        <v>61306890</v>
      </c>
      <c r="AC165" s="1335">
        <f t="shared" si="75"/>
        <v>5793334</v>
      </c>
      <c r="AD165" s="1333">
        <f t="shared" si="75"/>
        <v>0</v>
      </c>
    </row>
    <row r="166" spans="1:30" s="293" customFormat="1" ht="15.75" hidden="1" customHeight="1">
      <c r="A166" s="1549"/>
      <c r="B166" s="1537" t="s">
        <v>1181</v>
      </c>
      <c r="C166" s="1538"/>
      <c r="D166" s="1539"/>
      <c r="E166" s="1540"/>
      <c r="F166" s="1539"/>
      <c r="G166" s="1539"/>
      <c r="H166" s="1539"/>
      <c r="I166" s="1348">
        <f t="shared" ref="I166:I173" si="76">SUM(L166:N166)</f>
        <v>0</v>
      </c>
      <c r="J166" s="1348">
        <f>SUM(I166)/1.27</f>
        <v>0</v>
      </c>
      <c r="K166" s="1347">
        <f>SUM(J166)*0.27</f>
        <v>0</v>
      </c>
      <c r="L166" s="1137">
        <v>0</v>
      </c>
      <c r="M166" s="1137">
        <v>0</v>
      </c>
      <c r="N166" s="1347">
        <v>0</v>
      </c>
      <c r="O166" s="1349">
        <f t="shared" ref="O166:O173" si="77">SUM(P166:R166)</f>
        <v>0</v>
      </c>
      <c r="P166" s="1252"/>
      <c r="Q166" s="1252"/>
      <c r="R166" s="1252"/>
      <c r="S166" s="1350"/>
      <c r="T166" s="451"/>
      <c r="U166" s="660"/>
      <c r="V166" s="451"/>
      <c r="W166" s="451"/>
      <c r="X166" s="660"/>
      <c r="Y166" s="1352"/>
      <c r="Z166" s="1137"/>
      <c r="AA166" s="1347"/>
      <c r="AB166" s="1137"/>
      <c r="AC166" s="1137"/>
      <c r="AD166" s="1347"/>
    </row>
    <row r="167" spans="1:30" s="293" customFormat="1" ht="15.75" hidden="1" customHeight="1">
      <c r="A167" s="1549"/>
      <c r="B167" s="1564" t="s">
        <v>1182</v>
      </c>
      <c r="C167" s="1538"/>
      <c r="D167" s="1539"/>
      <c r="E167" s="1540"/>
      <c r="F167" s="1539"/>
      <c r="G167" s="1539"/>
      <c r="H167" s="1539"/>
      <c r="I167" s="1348">
        <f t="shared" si="76"/>
        <v>0</v>
      </c>
      <c r="J167" s="1348">
        <f>SUM(I167)/1.27</f>
        <v>0</v>
      </c>
      <c r="K167" s="1347">
        <f>SUM(J167)*0.27</f>
        <v>0</v>
      </c>
      <c r="L167" s="1137"/>
      <c r="M167" s="1137">
        <v>0</v>
      </c>
      <c r="N167" s="1347">
        <v>0</v>
      </c>
      <c r="O167" s="1349">
        <f t="shared" si="77"/>
        <v>0</v>
      </c>
      <c r="P167" s="1252"/>
      <c r="Q167" s="1252"/>
      <c r="R167" s="1252"/>
      <c r="S167" s="1350"/>
      <c r="T167" s="451"/>
      <c r="U167" s="660"/>
      <c r="V167" s="451"/>
      <c r="W167" s="451"/>
      <c r="X167" s="660"/>
      <c r="Y167" s="1352"/>
      <c r="Z167" s="1137"/>
      <c r="AA167" s="1347"/>
      <c r="AB167" s="1137"/>
      <c r="AC167" s="1137"/>
      <c r="AD167" s="1347"/>
    </row>
    <row r="168" spans="1:30" s="293" customFormat="1" ht="15.75" hidden="1" customHeight="1">
      <c r="A168" s="1549"/>
      <c r="B168" s="1564" t="s">
        <v>1183</v>
      </c>
      <c r="C168" s="1538"/>
      <c r="D168" s="1539"/>
      <c r="E168" s="1540"/>
      <c r="F168" s="1539"/>
      <c r="G168" s="1539"/>
      <c r="H168" s="1539"/>
      <c r="I168" s="1348">
        <f t="shared" si="76"/>
        <v>0</v>
      </c>
      <c r="J168" s="1348">
        <f>SUM(I168)/1.27</f>
        <v>0</v>
      </c>
      <c r="K168" s="1347">
        <f>SUM(J168)*0.27</f>
        <v>0</v>
      </c>
      <c r="L168" s="1137"/>
      <c r="M168" s="1137">
        <v>0</v>
      </c>
      <c r="N168" s="1347">
        <v>0</v>
      </c>
      <c r="O168" s="1349">
        <f t="shared" si="77"/>
        <v>0</v>
      </c>
      <c r="P168" s="1252"/>
      <c r="Q168" s="1252"/>
      <c r="R168" s="1252"/>
      <c r="S168" s="1350"/>
      <c r="T168" s="451"/>
      <c r="U168" s="660"/>
      <c r="V168" s="451"/>
      <c r="W168" s="451"/>
      <c r="X168" s="660"/>
      <c r="Y168" s="1352"/>
      <c r="Z168" s="1137"/>
      <c r="AA168" s="1347"/>
      <c r="AB168" s="1137"/>
      <c r="AC168" s="1137"/>
      <c r="AD168" s="1347"/>
    </row>
    <row r="169" spans="1:30" s="293" customFormat="1" ht="15.75" customHeight="1">
      <c r="A169" s="1549"/>
      <c r="B169" s="1537" t="s">
        <v>1184</v>
      </c>
      <c r="C169" s="1538">
        <v>762000</v>
      </c>
      <c r="D169" s="1539">
        <v>600000</v>
      </c>
      <c r="E169" s="1540">
        <v>162000</v>
      </c>
      <c r="F169" s="1539">
        <v>762000</v>
      </c>
      <c r="G169" s="1539">
        <v>0</v>
      </c>
      <c r="H169" s="1539">
        <v>0</v>
      </c>
      <c r="I169" s="1348">
        <f t="shared" si="76"/>
        <v>762000</v>
      </c>
      <c r="J169" s="1348">
        <f>SUM(I169)/1.27</f>
        <v>600000</v>
      </c>
      <c r="K169" s="1347">
        <f>SUM(J169)*0.27</f>
        <v>162000</v>
      </c>
      <c r="L169" s="1137">
        <v>762000</v>
      </c>
      <c r="M169" s="1137">
        <v>0</v>
      </c>
      <c r="N169" s="1347">
        <v>0</v>
      </c>
      <c r="O169" s="1349">
        <f t="shared" si="77"/>
        <v>0</v>
      </c>
      <c r="P169" s="1252"/>
      <c r="Q169" s="1252"/>
      <c r="R169" s="1252"/>
      <c r="S169" s="1350">
        <f>SUM(V169:Z169)</f>
        <v>762000</v>
      </c>
      <c r="T169" s="451">
        <f>SUM(S169)/1.27</f>
        <v>600000</v>
      </c>
      <c r="U169" s="660">
        <f>SUM(T169)*0.27</f>
        <v>162000</v>
      </c>
      <c r="V169" s="451">
        <f t="shared" ref="V169:X170" si="78">SUM(L169+P169)</f>
        <v>762000</v>
      </c>
      <c r="W169" s="451">
        <f t="shared" si="78"/>
        <v>0</v>
      </c>
      <c r="X169" s="660">
        <f t="shared" si="78"/>
        <v>0</v>
      </c>
      <c r="Y169" s="1352">
        <v>0</v>
      </c>
      <c r="Z169" s="1137">
        <v>0</v>
      </c>
      <c r="AA169" s="1347">
        <v>0</v>
      </c>
      <c r="AB169" s="1137">
        <f t="shared" ref="AB169:AB179" si="79">SUM(Z169:AA169)</f>
        <v>0</v>
      </c>
      <c r="AC169" s="1137"/>
      <c r="AD169" s="1347"/>
    </row>
    <row r="170" spans="1:30" s="293" customFormat="1" ht="15.75" hidden="1" customHeight="1">
      <c r="A170" s="1549"/>
      <c r="B170" s="1537" t="s">
        <v>1185</v>
      </c>
      <c r="C170" s="1538">
        <v>0</v>
      </c>
      <c r="D170" s="1539">
        <v>0</v>
      </c>
      <c r="E170" s="1540">
        <v>0</v>
      </c>
      <c r="F170" s="1539"/>
      <c r="G170" s="1539">
        <v>0</v>
      </c>
      <c r="H170" s="1539">
        <v>0</v>
      </c>
      <c r="I170" s="1348">
        <f t="shared" si="76"/>
        <v>0</v>
      </c>
      <c r="J170" s="1348">
        <f>SUM(I170)/1.27</f>
        <v>0</v>
      </c>
      <c r="K170" s="1347">
        <f>SUM(J170)*0.27</f>
        <v>0</v>
      </c>
      <c r="L170" s="1137"/>
      <c r="M170" s="1137">
        <v>0</v>
      </c>
      <c r="N170" s="1347">
        <v>0</v>
      </c>
      <c r="O170" s="1349">
        <f t="shared" si="77"/>
        <v>0</v>
      </c>
      <c r="P170" s="1252"/>
      <c r="Q170" s="1252"/>
      <c r="R170" s="1252"/>
      <c r="S170" s="1350">
        <f>SUM(V170:Z170)</f>
        <v>0</v>
      </c>
      <c r="T170" s="451">
        <f>SUM(S170)/1.27</f>
        <v>0</v>
      </c>
      <c r="U170" s="660">
        <f>SUM(T170)*0.27</f>
        <v>0</v>
      </c>
      <c r="V170" s="451">
        <f t="shared" si="78"/>
        <v>0</v>
      </c>
      <c r="W170" s="451">
        <f t="shared" si="78"/>
        <v>0</v>
      </c>
      <c r="X170" s="660">
        <f t="shared" si="78"/>
        <v>0</v>
      </c>
      <c r="Y170" s="1352"/>
      <c r="Z170" s="1137"/>
      <c r="AA170" s="1347"/>
      <c r="AB170" s="1137">
        <f t="shared" si="79"/>
        <v>0</v>
      </c>
      <c r="AC170" s="1137"/>
      <c r="AD170" s="1347"/>
    </row>
    <row r="171" spans="1:30" s="293" customFormat="1" ht="15.75" customHeight="1">
      <c r="A171" s="1549"/>
      <c r="B171" s="1537" t="s">
        <v>1186</v>
      </c>
      <c r="C171" s="1538">
        <v>4420000</v>
      </c>
      <c r="D171" s="1539">
        <v>3480000</v>
      </c>
      <c r="E171" s="1540">
        <v>940000</v>
      </c>
      <c r="F171" s="1539">
        <v>4420000</v>
      </c>
      <c r="G171" s="1539">
        <v>0</v>
      </c>
      <c r="H171" s="1539">
        <v>0</v>
      </c>
      <c r="I171" s="1348">
        <f t="shared" si="76"/>
        <v>4420000</v>
      </c>
      <c r="J171" s="1348">
        <v>3480000</v>
      </c>
      <c r="K171" s="1347">
        <v>940000</v>
      </c>
      <c r="L171" s="1137">
        <v>4420000</v>
      </c>
      <c r="M171" s="1137">
        <v>0</v>
      </c>
      <c r="N171" s="1347">
        <v>0</v>
      </c>
      <c r="O171" s="1349">
        <f t="shared" si="77"/>
        <v>-32080</v>
      </c>
      <c r="P171" s="1252">
        <v>-32080</v>
      </c>
      <c r="Q171" s="1252"/>
      <c r="R171" s="1252"/>
      <c r="S171" s="1350">
        <f t="shared" ref="S171:S202" si="80">SUM(V171:X171)</f>
        <v>7029460</v>
      </c>
      <c r="T171" s="451">
        <v>5534693</v>
      </c>
      <c r="U171" s="660">
        <f>SUM(T171)*0.27+400</f>
        <v>1494767</v>
      </c>
      <c r="V171" s="451">
        <v>7029460</v>
      </c>
      <c r="W171" s="451">
        <f t="shared" ref="W171:X173" si="81">SUM(M171+Q171)</f>
        <v>0</v>
      </c>
      <c r="X171" s="660">
        <f t="shared" si="81"/>
        <v>0</v>
      </c>
      <c r="Y171" s="1352">
        <v>5276462</v>
      </c>
      <c r="Z171" s="1137">
        <v>4154695</v>
      </c>
      <c r="AA171" s="1347">
        <v>1121767</v>
      </c>
      <c r="AB171" s="1137">
        <f t="shared" si="79"/>
        <v>5276462</v>
      </c>
      <c r="AC171" s="1137"/>
      <c r="AD171" s="1347"/>
    </row>
    <row r="172" spans="1:30" s="293" customFormat="1" ht="26.25" customHeight="1">
      <c r="A172" s="1549"/>
      <c r="B172" s="1537" t="s">
        <v>1187</v>
      </c>
      <c r="C172" s="1538">
        <v>6102000</v>
      </c>
      <c r="D172" s="1539">
        <v>4805000</v>
      </c>
      <c r="E172" s="1540">
        <v>1297000</v>
      </c>
      <c r="F172" s="1539">
        <v>6102000</v>
      </c>
      <c r="G172" s="1539">
        <v>0</v>
      </c>
      <c r="H172" s="1539">
        <v>0</v>
      </c>
      <c r="I172" s="1348">
        <f t="shared" si="76"/>
        <v>6102000</v>
      </c>
      <c r="J172" s="1348">
        <v>4805000</v>
      </c>
      <c r="K172" s="1347">
        <v>1297000</v>
      </c>
      <c r="L172" s="1137">
        <v>6102000</v>
      </c>
      <c r="M172" s="1137">
        <v>0</v>
      </c>
      <c r="N172" s="1347">
        <v>0</v>
      </c>
      <c r="O172" s="1349">
        <f t="shared" si="77"/>
        <v>0</v>
      </c>
      <c r="P172" s="1252"/>
      <c r="Q172" s="1252"/>
      <c r="R172" s="1252"/>
      <c r="S172" s="1350">
        <f t="shared" si="80"/>
        <v>8007000</v>
      </c>
      <c r="T172" s="451">
        <v>6305000</v>
      </c>
      <c r="U172" s="660">
        <f>SUM(T172)*0.27-350</f>
        <v>1702000</v>
      </c>
      <c r="V172" s="451">
        <v>8007000</v>
      </c>
      <c r="W172" s="451">
        <f t="shared" si="81"/>
        <v>0</v>
      </c>
      <c r="X172" s="660">
        <f t="shared" si="81"/>
        <v>0</v>
      </c>
      <c r="Y172" s="1352">
        <v>4865078</v>
      </c>
      <c r="Z172" s="1137">
        <v>3830770</v>
      </c>
      <c r="AA172" s="1347">
        <v>1034308</v>
      </c>
      <c r="AB172" s="1137">
        <f t="shared" si="79"/>
        <v>4865078</v>
      </c>
      <c r="AC172" s="1137"/>
      <c r="AD172" s="1347"/>
    </row>
    <row r="173" spans="1:30" s="293" customFormat="1" ht="15.75" customHeight="1">
      <c r="A173" s="1549"/>
      <c r="B173" s="1537" t="s">
        <v>1188</v>
      </c>
      <c r="C173" s="1538">
        <v>10932000</v>
      </c>
      <c r="D173" s="1539">
        <v>8608000</v>
      </c>
      <c r="E173" s="1540">
        <v>2324000</v>
      </c>
      <c r="F173" s="1539">
        <v>10932000</v>
      </c>
      <c r="G173" s="1539">
        <v>0</v>
      </c>
      <c r="H173" s="1539">
        <v>0</v>
      </c>
      <c r="I173" s="1348">
        <f t="shared" si="76"/>
        <v>10932000</v>
      </c>
      <c r="J173" s="1348">
        <v>8608000</v>
      </c>
      <c r="K173" s="1347">
        <v>2324000</v>
      </c>
      <c r="L173" s="1137">
        <v>10932000</v>
      </c>
      <c r="M173" s="1137">
        <v>0</v>
      </c>
      <c r="N173" s="1347">
        <v>0</v>
      </c>
      <c r="O173" s="1349">
        <f t="shared" si="77"/>
        <v>-409177</v>
      </c>
      <c r="P173" s="1252">
        <v>-409177</v>
      </c>
      <c r="Q173" s="1252"/>
      <c r="R173" s="1252"/>
      <c r="S173" s="1350">
        <f t="shared" si="80"/>
        <v>6915341</v>
      </c>
      <c r="T173" s="451">
        <v>5445278</v>
      </c>
      <c r="U173" s="660">
        <f>SUM(T173)*0.27-162</f>
        <v>1470063</v>
      </c>
      <c r="V173" s="451">
        <v>6915341</v>
      </c>
      <c r="W173" s="451">
        <f t="shared" si="81"/>
        <v>0</v>
      </c>
      <c r="X173" s="660">
        <f t="shared" si="81"/>
        <v>0</v>
      </c>
      <c r="Y173" s="1350">
        <v>4711745</v>
      </c>
      <c r="Z173" s="1137">
        <v>3711298</v>
      </c>
      <c r="AA173" s="1347">
        <v>1000447</v>
      </c>
      <c r="AB173" s="1137">
        <f t="shared" si="79"/>
        <v>4711745</v>
      </c>
      <c r="AC173" s="1137"/>
      <c r="AD173" s="1347"/>
    </row>
    <row r="174" spans="1:30" s="293" customFormat="1" ht="15.75" customHeight="1">
      <c r="A174" s="1549"/>
      <c r="B174" s="1542" t="s">
        <v>1189</v>
      </c>
      <c r="C174" s="1538"/>
      <c r="D174" s="1539"/>
      <c r="E174" s="1540"/>
      <c r="F174" s="1539"/>
      <c r="G174" s="1539"/>
      <c r="H174" s="1539"/>
      <c r="I174" s="1348"/>
      <c r="J174" s="1348"/>
      <c r="K174" s="1347"/>
      <c r="L174" s="1137"/>
      <c r="M174" s="1137"/>
      <c r="N174" s="1347"/>
      <c r="O174" s="1349"/>
      <c r="P174" s="1252"/>
      <c r="Q174" s="1252"/>
      <c r="R174" s="1252"/>
      <c r="S174" s="1350">
        <f t="shared" si="80"/>
        <v>203200</v>
      </c>
      <c r="T174" s="451">
        <f>SUM(S174)/1.27</f>
        <v>160000</v>
      </c>
      <c r="U174" s="660">
        <f>SUM(T174)*0.27</f>
        <v>43200</v>
      </c>
      <c r="V174" s="451">
        <v>203200</v>
      </c>
      <c r="W174" s="451">
        <v>0</v>
      </c>
      <c r="X174" s="660">
        <v>0</v>
      </c>
      <c r="Y174" s="1352">
        <v>0</v>
      </c>
      <c r="Z174" s="1137">
        <v>0</v>
      </c>
      <c r="AA174" s="1347">
        <v>0</v>
      </c>
      <c r="AB174" s="1137">
        <f t="shared" si="79"/>
        <v>0</v>
      </c>
      <c r="AC174" s="1137"/>
      <c r="AD174" s="1347"/>
    </row>
    <row r="175" spans="1:30" s="293" customFormat="1" ht="15.75" customHeight="1">
      <c r="A175" s="1549"/>
      <c r="B175" s="1537" t="s">
        <v>1190</v>
      </c>
      <c r="C175" s="1538">
        <v>12700000</v>
      </c>
      <c r="D175" s="1539">
        <v>10000000</v>
      </c>
      <c r="E175" s="1540">
        <v>2700000</v>
      </c>
      <c r="F175" s="1539">
        <v>12700000</v>
      </c>
      <c r="G175" s="1539">
        <v>0</v>
      </c>
      <c r="H175" s="1539">
        <v>0</v>
      </c>
      <c r="I175" s="1348">
        <f t="shared" ref="I175:I193" si="82">SUM(L175:N175)</f>
        <v>12700000</v>
      </c>
      <c r="J175" s="1348">
        <f>SUM(I175)/1.27</f>
        <v>10000000</v>
      </c>
      <c r="K175" s="1347">
        <f>SUM(J175)*0.27</f>
        <v>2700000</v>
      </c>
      <c r="L175" s="1137">
        <v>12700000</v>
      </c>
      <c r="M175" s="1137">
        <v>0</v>
      </c>
      <c r="N175" s="1347">
        <v>0</v>
      </c>
      <c r="O175" s="1349">
        <f t="shared" ref="O175:O193" si="83">SUM(P175:R175)</f>
        <v>0</v>
      </c>
      <c r="P175" s="1252"/>
      <c r="Q175" s="1252"/>
      <c r="R175" s="1252"/>
      <c r="S175" s="1350">
        <f t="shared" si="80"/>
        <v>12700000</v>
      </c>
      <c r="T175" s="451">
        <f>SUM(S175)/1.27</f>
        <v>10000000</v>
      </c>
      <c r="U175" s="660">
        <f>SUM(T175)*0.27</f>
        <v>2700000</v>
      </c>
      <c r="V175" s="451">
        <v>12700000</v>
      </c>
      <c r="W175" s="451">
        <f t="shared" ref="W175:X181" si="84">SUM(M175+Q175)</f>
        <v>0</v>
      </c>
      <c r="X175" s="660">
        <f t="shared" si="84"/>
        <v>0</v>
      </c>
      <c r="Y175" s="1352">
        <v>6127750</v>
      </c>
      <c r="Z175" s="1137">
        <v>4825000</v>
      </c>
      <c r="AA175" s="1347">
        <v>1302750</v>
      </c>
      <c r="AB175" s="1137">
        <f t="shared" si="79"/>
        <v>6127750</v>
      </c>
      <c r="AC175" s="1137"/>
      <c r="AD175" s="1347"/>
    </row>
    <row r="176" spans="1:30" s="293" customFormat="1" ht="15.75" customHeight="1">
      <c r="A176" s="1549"/>
      <c r="B176" s="1537" t="s">
        <v>1191</v>
      </c>
      <c r="C176" s="1538">
        <v>6664000</v>
      </c>
      <c r="D176" s="1539">
        <v>5247000</v>
      </c>
      <c r="E176" s="1540">
        <v>1417000</v>
      </c>
      <c r="F176" s="1539">
        <v>6664000</v>
      </c>
      <c r="G176" s="1539">
        <v>0</v>
      </c>
      <c r="H176" s="1539">
        <v>0</v>
      </c>
      <c r="I176" s="1348">
        <f t="shared" si="82"/>
        <v>6664000</v>
      </c>
      <c r="J176" s="1348">
        <v>5247000</v>
      </c>
      <c r="K176" s="1347">
        <v>1417000</v>
      </c>
      <c r="L176" s="1137">
        <v>6664000</v>
      </c>
      <c r="M176" s="1137">
        <v>0</v>
      </c>
      <c r="N176" s="1347">
        <v>0</v>
      </c>
      <c r="O176" s="1349">
        <f t="shared" si="83"/>
        <v>0</v>
      </c>
      <c r="P176" s="1252"/>
      <c r="Q176" s="1252"/>
      <c r="R176" s="1252"/>
      <c r="S176" s="1350">
        <f t="shared" si="80"/>
        <v>6664000</v>
      </c>
      <c r="T176" s="451">
        <v>5247000</v>
      </c>
      <c r="U176" s="660">
        <f>SUM(T176)*0.27+310</f>
        <v>1417000</v>
      </c>
      <c r="V176" s="451">
        <v>6664000</v>
      </c>
      <c r="W176" s="451">
        <f t="shared" si="84"/>
        <v>0</v>
      </c>
      <c r="X176" s="660">
        <f t="shared" si="84"/>
        <v>0</v>
      </c>
      <c r="Y176" s="1352">
        <v>6654800</v>
      </c>
      <c r="Z176" s="1137">
        <v>5240000</v>
      </c>
      <c r="AA176" s="1347">
        <v>1414800</v>
      </c>
      <c r="AB176" s="1137">
        <f t="shared" si="79"/>
        <v>6654800</v>
      </c>
      <c r="AC176" s="1137"/>
      <c r="AD176" s="1347"/>
    </row>
    <row r="177" spans="1:30" s="293" customFormat="1" ht="15" customHeight="1">
      <c r="A177" s="1549"/>
      <c r="B177" s="1537" t="s">
        <v>1192</v>
      </c>
      <c r="C177" s="1538">
        <v>4445000</v>
      </c>
      <c r="D177" s="1539">
        <v>3500000</v>
      </c>
      <c r="E177" s="1540">
        <v>945000</v>
      </c>
      <c r="F177" s="1539">
        <v>4445000</v>
      </c>
      <c r="G177" s="1539">
        <v>0</v>
      </c>
      <c r="H177" s="1539">
        <v>0</v>
      </c>
      <c r="I177" s="1348">
        <f t="shared" si="82"/>
        <v>4445000</v>
      </c>
      <c r="J177" s="1348">
        <f t="shared" ref="J177:J193" si="85">SUM(I177)/1.27</f>
        <v>3500000</v>
      </c>
      <c r="K177" s="1347">
        <f>SUM(J177)*0.27</f>
        <v>945000</v>
      </c>
      <c r="L177" s="1137">
        <v>4445000</v>
      </c>
      <c r="M177" s="1137">
        <v>0</v>
      </c>
      <c r="N177" s="1347">
        <v>0</v>
      </c>
      <c r="O177" s="1349">
        <f t="shared" si="83"/>
        <v>-121412</v>
      </c>
      <c r="P177" s="1252">
        <v>-121412</v>
      </c>
      <c r="Q177" s="1252"/>
      <c r="R177" s="1252"/>
      <c r="S177" s="1350">
        <f t="shared" si="80"/>
        <v>4323588</v>
      </c>
      <c r="T177" s="451">
        <f t="shared" ref="T177:T193" si="86">SUM(S177)/1.27</f>
        <v>3404400</v>
      </c>
      <c r="U177" s="660">
        <f t="shared" ref="U177:U193" si="87">SUM(T177)*0.27</f>
        <v>919188</v>
      </c>
      <c r="V177" s="451">
        <v>4323588</v>
      </c>
      <c r="W177" s="451">
        <f t="shared" si="84"/>
        <v>0</v>
      </c>
      <c r="X177" s="660">
        <f t="shared" si="84"/>
        <v>0</v>
      </c>
      <c r="Y177" s="1352">
        <v>4323588</v>
      </c>
      <c r="Z177" s="1137">
        <v>3404400</v>
      </c>
      <c r="AA177" s="1347">
        <v>919188</v>
      </c>
      <c r="AB177" s="1137">
        <f t="shared" si="79"/>
        <v>4323588</v>
      </c>
      <c r="AC177" s="1137"/>
      <c r="AD177" s="1347"/>
    </row>
    <row r="178" spans="1:30" s="293" customFormat="1" ht="15" customHeight="1">
      <c r="A178" s="1549"/>
      <c r="B178" s="1537" t="s">
        <v>1193</v>
      </c>
      <c r="C178" s="1538">
        <v>1270000</v>
      </c>
      <c r="D178" s="1539">
        <v>1000000</v>
      </c>
      <c r="E178" s="1540">
        <v>270000</v>
      </c>
      <c r="F178" s="1539">
        <v>1270000</v>
      </c>
      <c r="G178" s="1539">
        <v>0</v>
      </c>
      <c r="H178" s="1539">
        <v>0</v>
      </c>
      <c r="I178" s="1348">
        <f t="shared" si="82"/>
        <v>1270000</v>
      </c>
      <c r="J178" s="1348">
        <f t="shared" si="85"/>
        <v>1000000</v>
      </c>
      <c r="K178" s="1347">
        <f>SUM(J178)*0.27</f>
        <v>270000</v>
      </c>
      <c r="L178" s="1137">
        <v>1270000</v>
      </c>
      <c r="M178" s="1137">
        <v>0</v>
      </c>
      <c r="N178" s="1347">
        <v>0</v>
      </c>
      <c r="O178" s="1349">
        <f t="shared" si="83"/>
        <v>-1270000</v>
      </c>
      <c r="P178" s="1252">
        <v>-1270000</v>
      </c>
      <c r="Q178" s="1252"/>
      <c r="R178" s="1252"/>
      <c r="S178" s="1350">
        <f t="shared" si="80"/>
        <v>0</v>
      </c>
      <c r="T178" s="451">
        <f t="shared" si="86"/>
        <v>0</v>
      </c>
      <c r="U178" s="660">
        <f t="shared" si="87"/>
        <v>0</v>
      </c>
      <c r="V178" s="451">
        <v>0</v>
      </c>
      <c r="W178" s="451">
        <f t="shared" si="84"/>
        <v>0</v>
      </c>
      <c r="X178" s="660">
        <f t="shared" si="84"/>
        <v>0</v>
      </c>
      <c r="Y178" s="1352">
        <v>6270104</v>
      </c>
      <c r="Z178" s="1137">
        <v>4937090</v>
      </c>
      <c r="AA178" s="1347">
        <v>1333014</v>
      </c>
      <c r="AB178" s="1137">
        <f t="shared" si="79"/>
        <v>6270104</v>
      </c>
      <c r="AC178" s="1137"/>
      <c r="AD178" s="1347"/>
    </row>
    <row r="179" spans="1:30" s="293" customFormat="1" ht="15" customHeight="1">
      <c r="A179" s="1549"/>
      <c r="B179" s="1537" t="s">
        <v>1194</v>
      </c>
      <c r="C179" s="1538">
        <v>7620000</v>
      </c>
      <c r="D179" s="1539">
        <v>6000000</v>
      </c>
      <c r="E179" s="1540">
        <v>1620000</v>
      </c>
      <c r="F179" s="1539">
        <v>7620000</v>
      </c>
      <c r="G179" s="1539">
        <v>0</v>
      </c>
      <c r="H179" s="1539">
        <v>0</v>
      </c>
      <c r="I179" s="1348">
        <f t="shared" si="82"/>
        <v>7620000</v>
      </c>
      <c r="J179" s="1348">
        <f t="shared" si="85"/>
        <v>6000000</v>
      </c>
      <c r="K179" s="1347">
        <f>SUM(J179)*0.27</f>
        <v>1620000</v>
      </c>
      <c r="L179" s="1137">
        <v>7620000</v>
      </c>
      <c r="M179" s="1137">
        <v>0</v>
      </c>
      <c r="N179" s="1347">
        <v>0</v>
      </c>
      <c r="O179" s="1349">
        <f t="shared" si="83"/>
        <v>-7620000</v>
      </c>
      <c r="P179" s="1252">
        <v>-7620000</v>
      </c>
      <c r="Q179" s="1252"/>
      <c r="R179" s="1252"/>
      <c r="S179" s="1350">
        <f t="shared" si="80"/>
        <v>0</v>
      </c>
      <c r="T179" s="451">
        <f t="shared" si="86"/>
        <v>0</v>
      </c>
      <c r="U179" s="660">
        <f t="shared" si="87"/>
        <v>0</v>
      </c>
      <c r="V179" s="451">
        <f>SUM(L179+P179)</f>
        <v>0</v>
      </c>
      <c r="W179" s="451">
        <f t="shared" si="84"/>
        <v>0</v>
      </c>
      <c r="X179" s="660">
        <f t="shared" si="84"/>
        <v>0</v>
      </c>
      <c r="Y179" s="1352">
        <v>631698</v>
      </c>
      <c r="Z179" s="1137">
        <v>497400</v>
      </c>
      <c r="AA179" s="1347">
        <v>134298</v>
      </c>
      <c r="AB179" s="1137">
        <f t="shared" si="79"/>
        <v>631698</v>
      </c>
      <c r="AC179" s="1137"/>
      <c r="AD179" s="1347"/>
    </row>
    <row r="180" spans="1:30" s="293" customFormat="1" ht="15" customHeight="1">
      <c r="A180" s="1549"/>
      <c r="B180" s="1537" t="s">
        <v>1195</v>
      </c>
      <c r="C180" s="1538">
        <v>7620000</v>
      </c>
      <c r="D180" s="1539">
        <v>6000000</v>
      </c>
      <c r="E180" s="1540">
        <v>1620000</v>
      </c>
      <c r="F180" s="1539">
        <v>7620000</v>
      </c>
      <c r="G180" s="1539">
        <v>0</v>
      </c>
      <c r="H180" s="1539">
        <v>0</v>
      </c>
      <c r="I180" s="1348">
        <f t="shared" si="82"/>
        <v>7620000</v>
      </c>
      <c r="J180" s="1348">
        <f t="shared" si="85"/>
        <v>6000000</v>
      </c>
      <c r="K180" s="1347">
        <f>SUM(J180)*0.27</f>
        <v>1620000</v>
      </c>
      <c r="L180" s="1137">
        <v>7620000</v>
      </c>
      <c r="M180" s="1137">
        <v>0</v>
      </c>
      <c r="N180" s="1347">
        <v>0</v>
      </c>
      <c r="O180" s="1349">
        <f t="shared" si="83"/>
        <v>-1349896</v>
      </c>
      <c r="P180" s="1252">
        <v>-1349896</v>
      </c>
      <c r="Q180" s="1252"/>
      <c r="R180" s="1252"/>
      <c r="S180" s="1350">
        <f t="shared" si="80"/>
        <v>6270104</v>
      </c>
      <c r="T180" s="451">
        <f t="shared" si="86"/>
        <v>4937090</v>
      </c>
      <c r="U180" s="660">
        <f t="shared" si="87"/>
        <v>1333014</v>
      </c>
      <c r="V180" s="451">
        <f>SUM(L180+P180)</f>
        <v>6270104</v>
      </c>
      <c r="W180" s="451">
        <f t="shared" si="84"/>
        <v>0</v>
      </c>
      <c r="X180" s="660">
        <f t="shared" si="84"/>
        <v>0</v>
      </c>
      <c r="Y180" s="1352">
        <v>5793334</v>
      </c>
      <c r="Z180" s="451">
        <v>4561680</v>
      </c>
      <c r="AA180" s="1347">
        <v>1231654</v>
      </c>
      <c r="AB180" s="1137"/>
      <c r="AC180" s="451">
        <f>SUM(Z180:AA180)</f>
        <v>5793334</v>
      </c>
      <c r="AD180" s="1347"/>
    </row>
    <row r="181" spans="1:30" s="293" customFormat="1" ht="27.75" customHeight="1">
      <c r="A181" s="1549"/>
      <c r="B181" s="1537" t="s">
        <v>1196</v>
      </c>
      <c r="C181" s="1538">
        <v>635000</v>
      </c>
      <c r="D181" s="1539">
        <v>500000</v>
      </c>
      <c r="E181" s="1540">
        <v>135000</v>
      </c>
      <c r="F181" s="1539">
        <v>635000</v>
      </c>
      <c r="G181" s="1539">
        <v>0</v>
      </c>
      <c r="H181" s="1539">
        <v>0</v>
      </c>
      <c r="I181" s="1348">
        <f t="shared" si="82"/>
        <v>635000</v>
      </c>
      <c r="J181" s="1348">
        <f t="shared" si="85"/>
        <v>500000</v>
      </c>
      <c r="K181" s="1347">
        <f>SUM(J181)*0.27</f>
        <v>135000</v>
      </c>
      <c r="L181" s="1137">
        <v>635000</v>
      </c>
      <c r="M181" s="1137">
        <v>0</v>
      </c>
      <c r="N181" s="1347">
        <v>0</v>
      </c>
      <c r="O181" s="1349">
        <f t="shared" si="83"/>
        <v>0</v>
      </c>
      <c r="P181" s="1252"/>
      <c r="Q181" s="1252"/>
      <c r="R181" s="1252"/>
      <c r="S181" s="1350">
        <f t="shared" si="80"/>
        <v>631698</v>
      </c>
      <c r="T181" s="451">
        <f t="shared" si="86"/>
        <v>497400</v>
      </c>
      <c r="U181" s="660">
        <f t="shared" si="87"/>
        <v>134298</v>
      </c>
      <c r="V181" s="451">
        <v>631698</v>
      </c>
      <c r="W181" s="451">
        <f t="shared" si="84"/>
        <v>0</v>
      </c>
      <c r="X181" s="660">
        <f t="shared" si="84"/>
        <v>0</v>
      </c>
      <c r="Y181" s="1352">
        <v>14478000</v>
      </c>
      <c r="Z181" s="451">
        <v>11400000</v>
      </c>
      <c r="AA181" s="1347">
        <v>3078000</v>
      </c>
      <c r="AB181" s="1137">
        <f t="shared" ref="AB181:AB212" si="88">SUM(Z181:AA181)</f>
        <v>14478000</v>
      </c>
      <c r="AC181" s="1137"/>
      <c r="AD181" s="1347"/>
    </row>
    <row r="182" spans="1:30" s="293" customFormat="1" ht="15.75" customHeight="1">
      <c r="A182" s="1549"/>
      <c r="B182" s="1537" t="s">
        <v>1197</v>
      </c>
      <c r="C182" s="1538">
        <v>0</v>
      </c>
      <c r="D182" s="1539">
        <v>0</v>
      </c>
      <c r="E182" s="1540">
        <v>0</v>
      </c>
      <c r="F182" s="1539"/>
      <c r="G182" s="1539">
        <v>0</v>
      </c>
      <c r="H182" s="1539">
        <v>0</v>
      </c>
      <c r="I182" s="1348">
        <f t="shared" si="82"/>
        <v>5895930</v>
      </c>
      <c r="J182" s="1348">
        <f t="shared" si="85"/>
        <v>4642465</v>
      </c>
      <c r="K182" s="1347">
        <f>SUM(J182)*0.27-1</f>
        <v>1253465</v>
      </c>
      <c r="L182" s="1137"/>
      <c r="M182" s="1137">
        <v>5895930</v>
      </c>
      <c r="N182" s="1347">
        <v>0</v>
      </c>
      <c r="O182" s="1349">
        <f t="shared" si="83"/>
        <v>0</v>
      </c>
      <c r="P182" s="1252"/>
      <c r="Q182" s="1252"/>
      <c r="R182" s="1252"/>
      <c r="S182" s="1350">
        <f t="shared" si="80"/>
        <v>5793334</v>
      </c>
      <c r="T182" s="451">
        <f t="shared" si="86"/>
        <v>4561680</v>
      </c>
      <c r="U182" s="660">
        <f t="shared" si="87"/>
        <v>1231654</v>
      </c>
      <c r="V182" s="451">
        <f t="shared" ref="V182:V189" si="89">SUM(L182+P182)</f>
        <v>0</v>
      </c>
      <c r="W182" s="1551">
        <v>5793334</v>
      </c>
      <c r="X182" s="660">
        <f t="shared" ref="X182:X193" si="90">SUM(N182+R182)</f>
        <v>0</v>
      </c>
      <c r="Y182" s="1352">
        <v>240309</v>
      </c>
      <c r="Z182" s="451">
        <v>189220</v>
      </c>
      <c r="AA182" s="1347">
        <v>51089</v>
      </c>
      <c r="AB182" s="1137">
        <f t="shared" si="88"/>
        <v>240309</v>
      </c>
      <c r="AC182" s="1137"/>
      <c r="AD182" s="1347"/>
    </row>
    <row r="183" spans="1:30" s="293" customFormat="1" ht="15" customHeight="1">
      <c r="A183" s="1555"/>
      <c r="B183" s="1537" t="s">
        <v>1198</v>
      </c>
      <c r="C183" s="1538">
        <v>0</v>
      </c>
      <c r="D183" s="1539">
        <v>0</v>
      </c>
      <c r="E183" s="1540">
        <v>0</v>
      </c>
      <c r="F183" s="1539">
        <v>0</v>
      </c>
      <c r="G183" s="1539">
        <v>0</v>
      </c>
      <c r="H183" s="1539">
        <v>0</v>
      </c>
      <c r="I183" s="1348">
        <f t="shared" si="82"/>
        <v>14478000</v>
      </c>
      <c r="J183" s="1348">
        <f t="shared" si="85"/>
        <v>11400000</v>
      </c>
      <c r="K183" s="1347">
        <f t="shared" ref="K183:K190" si="91">SUM(J183)*0.27</f>
        <v>3078000</v>
      </c>
      <c r="L183" s="1137">
        <v>14478000</v>
      </c>
      <c r="M183" s="1137">
        <v>0</v>
      </c>
      <c r="N183" s="1347">
        <v>0</v>
      </c>
      <c r="O183" s="1349">
        <f t="shared" si="83"/>
        <v>0</v>
      </c>
      <c r="P183" s="1400"/>
      <c r="Q183" s="1252"/>
      <c r="R183" s="1252"/>
      <c r="S183" s="1350">
        <f t="shared" si="80"/>
        <v>14478000</v>
      </c>
      <c r="T183" s="451">
        <f t="shared" si="86"/>
        <v>11400000</v>
      </c>
      <c r="U183" s="660">
        <f t="shared" si="87"/>
        <v>3078000</v>
      </c>
      <c r="V183" s="451">
        <f t="shared" si="89"/>
        <v>14478000</v>
      </c>
      <c r="W183" s="451">
        <f t="shared" ref="W183:W193" si="92">SUM(M183+Q183)</f>
        <v>0</v>
      </c>
      <c r="X183" s="660">
        <f t="shared" si="90"/>
        <v>0</v>
      </c>
      <c r="Y183" s="1352">
        <v>0</v>
      </c>
      <c r="Z183" s="451">
        <v>0</v>
      </c>
      <c r="AA183" s="1347">
        <v>0</v>
      </c>
      <c r="AB183" s="1137">
        <f t="shared" si="88"/>
        <v>0</v>
      </c>
      <c r="AC183" s="1137"/>
      <c r="AD183" s="1347"/>
    </row>
    <row r="184" spans="1:30" s="293" customFormat="1" ht="15" customHeight="1">
      <c r="A184" s="1555"/>
      <c r="B184" s="1537" t="s">
        <v>1199</v>
      </c>
      <c r="C184" s="1538">
        <v>0</v>
      </c>
      <c r="D184" s="1539">
        <v>0</v>
      </c>
      <c r="E184" s="1540">
        <v>0</v>
      </c>
      <c r="F184" s="1539">
        <v>0</v>
      </c>
      <c r="G184" s="1539">
        <v>0</v>
      </c>
      <c r="H184" s="1539">
        <v>0</v>
      </c>
      <c r="I184" s="1348">
        <f t="shared" si="82"/>
        <v>240309</v>
      </c>
      <c r="J184" s="1348">
        <f t="shared" si="85"/>
        <v>189220</v>
      </c>
      <c r="K184" s="1347">
        <f t="shared" si="91"/>
        <v>51089</v>
      </c>
      <c r="L184" s="1137">
        <v>240309</v>
      </c>
      <c r="M184" s="1137">
        <v>0</v>
      </c>
      <c r="N184" s="1347">
        <v>0</v>
      </c>
      <c r="O184" s="1349">
        <f t="shared" si="83"/>
        <v>0</v>
      </c>
      <c r="P184" s="1252"/>
      <c r="Q184" s="1252"/>
      <c r="R184" s="1252"/>
      <c r="S184" s="1350">
        <f t="shared" si="80"/>
        <v>240309</v>
      </c>
      <c r="T184" s="451">
        <f t="shared" si="86"/>
        <v>189220</v>
      </c>
      <c r="U184" s="660">
        <f t="shared" si="87"/>
        <v>51089</v>
      </c>
      <c r="V184" s="451">
        <f t="shared" si="89"/>
        <v>240309</v>
      </c>
      <c r="W184" s="451">
        <f t="shared" si="92"/>
        <v>0</v>
      </c>
      <c r="X184" s="660">
        <f t="shared" si="90"/>
        <v>0</v>
      </c>
      <c r="Y184" s="1352">
        <v>568452</v>
      </c>
      <c r="Z184" s="451">
        <v>447600</v>
      </c>
      <c r="AA184" s="1347">
        <v>120852</v>
      </c>
      <c r="AB184" s="1137">
        <f t="shared" si="88"/>
        <v>568452</v>
      </c>
      <c r="AC184" s="1137"/>
      <c r="AD184" s="1347"/>
    </row>
    <row r="185" spans="1:30" s="293" customFormat="1" ht="15" customHeight="1">
      <c r="A185" s="1555"/>
      <c r="B185" s="1537" t="s">
        <v>1200</v>
      </c>
      <c r="C185" s="1538">
        <v>0</v>
      </c>
      <c r="D185" s="1539">
        <v>0</v>
      </c>
      <c r="E185" s="1540">
        <v>0</v>
      </c>
      <c r="F185" s="1539">
        <v>0</v>
      </c>
      <c r="G185" s="1539">
        <v>0</v>
      </c>
      <c r="H185" s="1539">
        <v>0</v>
      </c>
      <c r="I185" s="1348">
        <f t="shared" si="82"/>
        <v>194818</v>
      </c>
      <c r="J185" s="1348">
        <f t="shared" si="85"/>
        <v>153400</v>
      </c>
      <c r="K185" s="1347">
        <f t="shared" si="91"/>
        <v>41418</v>
      </c>
      <c r="L185" s="1137">
        <v>194818</v>
      </c>
      <c r="M185" s="1137">
        <v>0</v>
      </c>
      <c r="N185" s="1347">
        <v>0</v>
      </c>
      <c r="O185" s="1349">
        <f t="shared" si="83"/>
        <v>0</v>
      </c>
      <c r="P185" s="1252"/>
      <c r="Q185" s="1252"/>
      <c r="R185" s="1252"/>
      <c r="S185" s="1350">
        <f t="shared" si="80"/>
        <v>194818</v>
      </c>
      <c r="T185" s="451">
        <f t="shared" si="86"/>
        <v>153400</v>
      </c>
      <c r="U185" s="660">
        <f t="shared" si="87"/>
        <v>41418</v>
      </c>
      <c r="V185" s="451">
        <f t="shared" si="89"/>
        <v>194818</v>
      </c>
      <c r="W185" s="451">
        <f t="shared" si="92"/>
        <v>0</v>
      </c>
      <c r="X185" s="660">
        <f t="shared" si="90"/>
        <v>0</v>
      </c>
      <c r="Y185" s="1352">
        <v>959062</v>
      </c>
      <c r="Z185" s="451">
        <v>755167</v>
      </c>
      <c r="AA185" s="1347">
        <v>203895</v>
      </c>
      <c r="AB185" s="1137">
        <f t="shared" si="88"/>
        <v>959062</v>
      </c>
      <c r="AC185" s="1137"/>
      <c r="AD185" s="1347"/>
    </row>
    <row r="186" spans="1:30" s="293" customFormat="1" ht="15" customHeight="1">
      <c r="A186" s="1555"/>
      <c r="B186" s="1537" t="s">
        <v>1201</v>
      </c>
      <c r="C186" s="1538">
        <v>0</v>
      </c>
      <c r="D186" s="1539">
        <v>0</v>
      </c>
      <c r="E186" s="1540">
        <v>0</v>
      </c>
      <c r="F186" s="1539">
        <v>0</v>
      </c>
      <c r="G186" s="1539">
        <v>0</v>
      </c>
      <c r="H186" s="1539">
        <v>0</v>
      </c>
      <c r="I186" s="1348">
        <f t="shared" si="82"/>
        <v>568503</v>
      </c>
      <c r="J186" s="1348">
        <f t="shared" si="85"/>
        <v>447640</v>
      </c>
      <c r="K186" s="1347">
        <f t="shared" si="91"/>
        <v>120863</v>
      </c>
      <c r="L186" s="1137">
        <v>568503</v>
      </c>
      <c r="M186" s="1137">
        <v>0</v>
      </c>
      <c r="N186" s="1347">
        <v>0</v>
      </c>
      <c r="O186" s="1349">
        <f t="shared" si="83"/>
        <v>0</v>
      </c>
      <c r="P186" s="1252"/>
      <c r="Q186" s="1252"/>
      <c r="R186" s="1252"/>
      <c r="S186" s="1350">
        <f t="shared" si="80"/>
        <v>568503</v>
      </c>
      <c r="T186" s="451">
        <f t="shared" si="86"/>
        <v>447640</v>
      </c>
      <c r="U186" s="660">
        <f t="shared" si="87"/>
        <v>120863</v>
      </c>
      <c r="V186" s="451">
        <f t="shared" si="89"/>
        <v>568503</v>
      </c>
      <c r="W186" s="451">
        <f t="shared" si="92"/>
        <v>0</v>
      </c>
      <c r="X186" s="660">
        <f t="shared" si="90"/>
        <v>0</v>
      </c>
      <c r="Y186" s="1352"/>
      <c r="Z186" s="451"/>
      <c r="AA186" s="1347"/>
      <c r="AB186" s="1137">
        <f t="shared" si="88"/>
        <v>0</v>
      </c>
      <c r="AC186" s="1137"/>
      <c r="AD186" s="1347"/>
    </row>
    <row r="187" spans="1:30" s="293" customFormat="1" ht="15" customHeight="1">
      <c r="A187" s="1555"/>
      <c r="B187" s="1537" t="s">
        <v>1202</v>
      </c>
      <c r="C187" s="1538">
        <v>0</v>
      </c>
      <c r="D187" s="1539">
        <v>0</v>
      </c>
      <c r="E187" s="1540">
        <v>0</v>
      </c>
      <c r="F187" s="1539">
        <v>0</v>
      </c>
      <c r="G187" s="1539">
        <v>0</v>
      </c>
      <c r="H187" s="1539">
        <v>0</v>
      </c>
      <c r="I187" s="1348">
        <f t="shared" si="82"/>
        <v>959062</v>
      </c>
      <c r="J187" s="1348">
        <f t="shared" si="85"/>
        <v>755167</v>
      </c>
      <c r="K187" s="1347">
        <f t="shared" si="91"/>
        <v>203895</v>
      </c>
      <c r="L187" s="1137">
        <v>959062</v>
      </c>
      <c r="M187" s="1137">
        <v>0</v>
      </c>
      <c r="N187" s="1347">
        <v>0</v>
      </c>
      <c r="O187" s="1349">
        <f t="shared" si="83"/>
        <v>0</v>
      </c>
      <c r="P187" s="1252"/>
      <c r="Q187" s="1252"/>
      <c r="R187" s="1252"/>
      <c r="S187" s="1350">
        <f t="shared" si="80"/>
        <v>959062</v>
      </c>
      <c r="T187" s="451">
        <f t="shared" si="86"/>
        <v>755167</v>
      </c>
      <c r="U187" s="660">
        <f t="shared" si="87"/>
        <v>203895</v>
      </c>
      <c r="V187" s="451">
        <f t="shared" si="89"/>
        <v>959062</v>
      </c>
      <c r="W187" s="451">
        <f t="shared" si="92"/>
        <v>0</v>
      </c>
      <c r="X187" s="660">
        <f t="shared" si="90"/>
        <v>0</v>
      </c>
      <c r="Y187" s="1352">
        <v>1993900</v>
      </c>
      <c r="Z187" s="451">
        <v>1570000</v>
      </c>
      <c r="AA187" s="1347">
        <v>423900</v>
      </c>
      <c r="AB187" s="1137">
        <f t="shared" si="88"/>
        <v>1993900</v>
      </c>
      <c r="AC187" s="1137"/>
      <c r="AD187" s="1347"/>
    </row>
    <row r="188" spans="1:30" s="293" customFormat="1" ht="14.25" customHeight="1">
      <c r="A188" s="1555"/>
      <c r="B188" s="1537" t="s">
        <v>1203</v>
      </c>
      <c r="C188" s="1538">
        <v>0</v>
      </c>
      <c r="D188" s="1539">
        <v>0</v>
      </c>
      <c r="E188" s="1540">
        <v>0</v>
      </c>
      <c r="F188" s="1539">
        <v>0</v>
      </c>
      <c r="G188" s="1539">
        <v>0</v>
      </c>
      <c r="H188" s="1539">
        <v>0</v>
      </c>
      <c r="I188" s="1348">
        <f t="shared" si="82"/>
        <v>1905000</v>
      </c>
      <c r="J188" s="1348">
        <f t="shared" si="85"/>
        <v>1500000</v>
      </c>
      <c r="K188" s="1347">
        <f t="shared" si="91"/>
        <v>405000</v>
      </c>
      <c r="L188" s="1137">
        <v>1905000</v>
      </c>
      <c r="M188" s="1137">
        <v>0</v>
      </c>
      <c r="N188" s="1347">
        <v>0</v>
      </c>
      <c r="O188" s="1349">
        <f t="shared" si="83"/>
        <v>-1905000</v>
      </c>
      <c r="P188" s="1252">
        <v>-1905000</v>
      </c>
      <c r="Q188" s="1252"/>
      <c r="R188" s="1252"/>
      <c r="S188" s="1350">
        <f t="shared" si="80"/>
        <v>0</v>
      </c>
      <c r="T188" s="451">
        <f t="shared" si="86"/>
        <v>0</v>
      </c>
      <c r="U188" s="660">
        <f t="shared" si="87"/>
        <v>0</v>
      </c>
      <c r="V188" s="451">
        <f t="shared" si="89"/>
        <v>0</v>
      </c>
      <c r="W188" s="451">
        <f t="shared" si="92"/>
        <v>0</v>
      </c>
      <c r="X188" s="660">
        <f t="shared" si="90"/>
        <v>0</v>
      </c>
      <c r="Y188" s="1352">
        <v>297294</v>
      </c>
      <c r="Z188" s="451">
        <v>234090</v>
      </c>
      <c r="AA188" s="1347">
        <v>63204</v>
      </c>
      <c r="AB188" s="1137">
        <f t="shared" si="88"/>
        <v>297294</v>
      </c>
      <c r="AC188" s="1137"/>
      <c r="AD188" s="1347"/>
    </row>
    <row r="189" spans="1:30" s="293" customFormat="1" ht="15">
      <c r="A189" s="1555"/>
      <c r="B189" s="1537" t="s">
        <v>1204</v>
      </c>
      <c r="C189" s="1538">
        <v>0</v>
      </c>
      <c r="D189" s="1539">
        <v>0</v>
      </c>
      <c r="E189" s="1540">
        <v>0</v>
      </c>
      <c r="F189" s="1539">
        <v>0</v>
      </c>
      <c r="G189" s="1539">
        <v>0</v>
      </c>
      <c r="H189" s="1539">
        <v>0</v>
      </c>
      <c r="I189" s="1348">
        <f t="shared" si="82"/>
        <v>342900</v>
      </c>
      <c r="J189" s="1348">
        <f t="shared" si="85"/>
        <v>270000</v>
      </c>
      <c r="K189" s="1347">
        <f t="shared" si="91"/>
        <v>72900</v>
      </c>
      <c r="L189" s="1137">
        <v>342900</v>
      </c>
      <c r="M189" s="1137">
        <v>0</v>
      </c>
      <c r="N189" s="1347">
        <v>0</v>
      </c>
      <c r="O189" s="1349">
        <f t="shared" si="83"/>
        <v>-342900</v>
      </c>
      <c r="P189" s="1252">
        <v>-342900</v>
      </c>
      <c r="Q189" s="1252"/>
      <c r="R189" s="1252"/>
      <c r="S189" s="1350">
        <f t="shared" si="80"/>
        <v>0</v>
      </c>
      <c r="T189" s="451">
        <f t="shared" si="86"/>
        <v>0</v>
      </c>
      <c r="U189" s="660">
        <f t="shared" si="87"/>
        <v>0</v>
      </c>
      <c r="V189" s="451">
        <f t="shared" si="89"/>
        <v>0</v>
      </c>
      <c r="W189" s="451">
        <f t="shared" si="92"/>
        <v>0</v>
      </c>
      <c r="X189" s="660">
        <f t="shared" si="90"/>
        <v>0</v>
      </c>
      <c r="Y189" s="1352">
        <v>323850</v>
      </c>
      <c r="Z189" s="1137">
        <v>255000</v>
      </c>
      <c r="AA189" s="1347">
        <v>68850</v>
      </c>
      <c r="AB189" s="1137">
        <f t="shared" si="88"/>
        <v>323850</v>
      </c>
      <c r="AC189" s="1137"/>
      <c r="AD189" s="1347"/>
    </row>
    <row r="190" spans="1:30" s="293" customFormat="1" ht="15" customHeight="1">
      <c r="A190" s="1555"/>
      <c r="B190" s="1537" t="s">
        <v>1205</v>
      </c>
      <c r="C190" s="1538">
        <v>0</v>
      </c>
      <c r="D190" s="1539">
        <v>0</v>
      </c>
      <c r="E190" s="1540">
        <v>0</v>
      </c>
      <c r="F190" s="1539">
        <v>0</v>
      </c>
      <c r="G190" s="1539">
        <v>0</v>
      </c>
      <c r="H190" s="1539">
        <v>0</v>
      </c>
      <c r="I190" s="1348">
        <f t="shared" si="82"/>
        <v>2095500</v>
      </c>
      <c r="J190" s="1348">
        <f t="shared" si="85"/>
        <v>1650000</v>
      </c>
      <c r="K190" s="1347">
        <f t="shared" si="91"/>
        <v>445500</v>
      </c>
      <c r="L190" s="1137">
        <v>2095500</v>
      </c>
      <c r="M190" s="1137">
        <v>0</v>
      </c>
      <c r="N190" s="1347">
        <v>0</v>
      </c>
      <c r="O190" s="1349">
        <f t="shared" si="83"/>
        <v>0</v>
      </c>
      <c r="P190" s="1252"/>
      <c r="Q190" s="1252"/>
      <c r="R190" s="1252"/>
      <c r="S190" s="1350">
        <f t="shared" si="80"/>
        <v>1993900</v>
      </c>
      <c r="T190" s="451">
        <f t="shared" si="86"/>
        <v>1570000</v>
      </c>
      <c r="U190" s="660">
        <f t="shared" si="87"/>
        <v>423900</v>
      </c>
      <c r="V190" s="451">
        <v>1993900</v>
      </c>
      <c r="W190" s="451">
        <f t="shared" si="92"/>
        <v>0</v>
      </c>
      <c r="X190" s="660">
        <f t="shared" si="90"/>
        <v>0</v>
      </c>
      <c r="Y190" s="1352">
        <v>97090</v>
      </c>
      <c r="Z190" s="1137">
        <v>76449</v>
      </c>
      <c r="AA190" s="1347">
        <v>20641</v>
      </c>
      <c r="AB190" s="1137">
        <f t="shared" si="88"/>
        <v>97090</v>
      </c>
      <c r="AC190" s="1137"/>
      <c r="AD190" s="1347"/>
    </row>
    <row r="191" spans="1:30" s="293" customFormat="1" ht="15" customHeight="1">
      <c r="A191" s="1555"/>
      <c r="B191" s="1537" t="s">
        <v>1206</v>
      </c>
      <c r="C191" s="1538">
        <v>0</v>
      </c>
      <c r="D191" s="1539">
        <v>0</v>
      </c>
      <c r="E191" s="1540">
        <v>0</v>
      </c>
      <c r="F191" s="1539">
        <v>0</v>
      </c>
      <c r="G191" s="1539">
        <v>0</v>
      </c>
      <c r="H191" s="1539">
        <v>0</v>
      </c>
      <c r="I191" s="1348">
        <f t="shared" si="82"/>
        <v>300000</v>
      </c>
      <c r="J191" s="1348">
        <f t="shared" si="85"/>
        <v>236220</v>
      </c>
      <c r="K191" s="1347">
        <v>63780</v>
      </c>
      <c r="L191" s="1137">
        <v>300000</v>
      </c>
      <c r="M191" s="1137">
        <v>0</v>
      </c>
      <c r="N191" s="1347">
        <v>0</v>
      </c>
      <c r="O191" s="1349">
        <f t="shared" si="83"/>
        <v>-2706</v>
      </c>
      <c r="P191" s="1252">
        <v>-2706</v>
      </c>
      <c r="Q191" s="1252"/>
      <c r="R191" s="1252"/>
      <c r="S191" s="1350">
        <f t="shared" si="80"/>
        <v>297294</v>
      </c>
      <c r="T191" s="451">
        <f t="shared" si="86"/>
        <v>234090</v>
      </c>
      <c r="U191" s="660">
        <f t="shared" si="87"/>
        <v>63204</v>
      </c>
      <c r="V191" s="451">
        <f>SUM(L191+P191)</f>
        <v>297294</v>
      </c>
      <c r="W191" s="451">
        <f t="shared" si="92"/>
        <v>0</v>
      </c>
      <c r="X191" s="660">
        <f t="shared" si="90"/>
        <v>0</v>
      </c>
      <c r="Y191" s="1352">
        <v>99509</v>
      </c>
      <c r="Z191" s="1137">
        <v>78353</v>
      </c>
      <c r="AA191" s="1347">
        <v>21156</v>
      </c>
      <c r="AB191" s="1137">
        <f t="shared" si="88"/>
        <v>99509</v>
      </c>
      <c r="AC191" s="1137"/>
      <c r="AD191" s="1347"/>
    </row>
    <row r="192" spans="1:30" s="293" customFormat="1" ht="15" customHeight="1">
      <c r="A192" s="1555"/>
      <c r="B192" s="1537" t="s">
        <v>1207</v>
      </c>
      <c r="C192" s="1538">
        <v>0</v>
      </c>
      <c r="D192" s="1539">
        <v>0</v>
      </c>
      <c r="E192" s="1540">
        <v>0</v>
      </c>
      <c r="F192" s="1539">
        <v>0</v>
      </c>
      <c r="G192" s="1539">
        <v>0</v>
      </c>
      <c r="H192" s="1539">
        <v>0</v>
      </c>
      <c r="I192" s="1348">
        <f t="shared" si="82"/>
        <v>323850</v>
      </c>
      <c r="J192" s="1348">
        <f t="shared" si="85"/>
        <v>255000</v>
      </c>
      <c r="K192" s="1347">
        <f>SUM(J192)*0.27</f>
        <v>68850</v>
      </c>
      <c r="L192" s="1137">
        <v>323850</v>
      </c>
      <c r="M192" s="1137">
        <v>0</v>
      </c>
      <c r="N192" s="1347">
        <v>0</v>
      </c>
      <c r="O192" s="1349">
        <f t="shared" si="83"/>
        <v>0</v>
      </c>
      <c r="P192" s="1252"/>
      <c r="Q192" s="1252"/>
      <c r="R192" s="1252"/>
      <c r="S192" s="1350">
        <f t="shared" si="80"/>
        <v>323850</v>
      </c>
      <c r="T192" s="451">
        <f t="shared" si="86"/>
        <v>255000</v>
      </c>
      <c r="U192" s="660">
        <f t="shared" si="87"/>
        <v>68850</v>
      </c>
      <c r="V192" s="451">
        <f>SUM(L192+P192)</f>
        <v>323850</v>
      </c>
      <c r="W192" s="451">
        <f t="shared" si="92"/>
        <v>0</v>
      </c>
      <c r="X192" s="660">
        <f t="shared" si="90"/>
        <v>0</v>
      </c>
      <c r="Y192" s="1352">
        <v>1491888</v>
      </c>
      <c r="Z192" s="1137">
        <v>1174715</v>
      </c>
      <c r="AA192" s="1347">
        <v>317173</v>
      </c>
      <c r="AB192" s="1137">
        <f t="shared" si="88"/>
        <v>1491888</v>
      </c>
      <c r="AC192" s="1137"/>
      <c r="AD192" s="1347"/>
    </row>
    <row r="193" spans="1:30" s="293" customFormat="1" ht="15" customHeight="1">
      <c r="A193" s="1555"/>
      <c r="B193" s="1537" t="s">
        <v>1208</v>
      </c>
      <c r="C193" s="1538"/>
      <c r="D193" s="1539"/>
      <c r="E193" s="1540"/>
      <c r="F193" s="1539"/>
      <c r="G193" s="1539"/>
      <c r="H193" s="1539"/>
      <c r="I193" s="1348">
        <f t="shared" si="82"/>
        <v>0</v>
      </c>
      <c r="J193" s="1348">
        <f t="shared" si="85"/>
        <v>0</v>
      </c>
      <c r="K193" s="1347">
        <f>SUM(J193)*0.27</f>
        <v>0</v>
      </c>
      <c r="L193" s="1137">
        <v>0</v>
      </c>
      <c r="M193" s="1137">
        <v>0</v>
      </c>
      <c r="N193" s="1347">
        <v>0</v>
      </c>
      <c r="O193" s="1349">
        <f t="shared" si="83"/>
        <v>14990</v>
      </c>
      <c r="P193" s="1252">
        <v>14990</v>
      </c>
      <c r="Q193" s="1252"/>
      <c r="R193" s="1252"/>
      <c r="S193" s="1350">
        <f t="shared" si="80"/>
        <v>97090</v>
      </c>
      <c r="T193" s="451">
        <f t="shared" si="86"/>
        <v>76449</v>
      </c>
      <c r="U193" s="660">
        <f t="shared" si="87"/>
        <v>20641</v>
      </c>
      <c r="V193" s="451">
        <v>97090</v>
      </c>
      <c r="W193" s="451">
        <f t="shared" si="92"/>
        <v>0</v>
      </c>
      <c r="X193" s="660">
        <f t="shared" si="90"/>
        <v>0</v>
      </c>
      <c r="Y193" s="1352">
        <v>173095</v>
      </c>
      <c r="Z193" s="1137">
        <v>136295</v>
      </c>
      <c r="AA193" s="1347">
        <v>36800</v>
      </c>
      <c r="AB193" s="1137">
        <f t="shared" si="88"/>
        <v>173095</v>
      </c>
      <c r="AC193" s="1137"/>
      <c r="AD193" s="1347"/>
    </row>
    <row r="194" spans="1:30" s="293" customFormat="1" ht="15" customHeight="1">
      <c r="A194" s="1555"/>
      <c r="B194" s="1542" t="s">
        <v>1209</v>
      </c>
      <c r="C194" s="1538"/>
      <c r="D194" s="1539"/>
      <c r="E194" s="1540"/>
      <c r="F194" s="1539"/>
      <c r="G194" s="1539"/>
      <c r="H194" s="1539"/>
      <c r="I194" s="1348"/>
      <c r="J194" s="1348"/>
      <c r="K194" s="1347"/>
      <c r="L194" s="1137"/>
      <c r="M194" s="1137"/>
      <c r="N194" s="1347"/>
      <c r="O194" s="1349"/>
      <c r="P194" s="1252"/>
      <c r="Q194" s="1252"/>
      <c r="R194" s="1252"/>
      <c r="S194" s="1350">
        <f t="shared" si="80"/>
        <v>99509</v>
      </c>
      <c r="T194" s="451">
        <f>SUM(S194)/1.27-1</f>
        <v>78353</v>
      </c>
      <c r="U194" s="660">
        <f>SUM(T194)*0.27+1</f>
        <v>21156</v>
      </c>
      <c r="V194" s="451">
        <v>99509</v>
      </c>
      <c r="W194" s="451"/>
      <c r="X194" s="660"/>
      <c r="Y194" s="1352">
        <v>30403</v>
      </c>
      <c r="Z194" s="1137">
        <v>23939</v>
      </c>
      <c r="AA194" s="1347">
        <v>6464</v>
      </c>
      <c r="AB194" s="1137">
        <f t="shared" si="88"/>
        <v>30403</v>
      </c>
      <c r="AC194" s="1137"/>
      <c r="AD194" s="1347"/>
    </row>
    <row r="195" spans="1:30" s="293" customFormat="1" ht="15" customHeight="1">
      <c r="A195" s="1555"/>
      <c r="B195" s="1542" t="s">
        <v>1210</v>
      </c>
      <c r="C195" s="1538"/>
      <c r="D195" s="1539"/>
      <c r="E195" s="1540"/>
      <c r="F195" s="1539"/>
      <c r="G195" s="1539"/>
      <c r="H195" s="1539"/>
      <c r="I195" s="1348"/>
      <c r="J195" s="1348"/>
      <c r="K195" s="1347"/>
      <c r="L195" s="1137"/>
      <c r="M195" s="1137"/>
      <c r="N195" s="1347"/>
      <c r="O195" s="1349"/>
      <c r="P195" s="1252"/>
      <c r="Q195" s="1252"/>
      <c r="R195" s="1252"/>
      <c r="S195" s="1350">
        <f t="shared" si="80"/>
        <v>1492250</v>
      </c>
      <c r="T195" s="451">
        <f>SUM(S195)/1.27</f>
        <v>1175000</v>
      </c>
      <c r="U195" s="660">
        <f>SUM(T195)*0.27</f>
        <v>317250</v>
      </c>
      <c r="V195" s="451">
        <v>1492250</v>
      </c>
      <c r="W195" s="451"/>
      <c r="X195" s="660"/>
      <c r="Y195" s="1352">
        <v>133025</v>
      </c>
      <c r="Z195" s="1137">
        <v>104744</v>
      </c>
      <c r="AA195" s="1347">
        <v>28281</v>
      </c>
      <c r="AB195" s="1137">
        <f t="shared" si="88"/>
        <v>133025</v>
      </c>
      <c r="AC195" s="1137"/>
      <c r="AD195" s="1347"/>
    </row>
    <row r="196" spans="1:30" s="293" customFormat="1" ht="15" customHeight="1">
      <c r="A196" s="1555"/>
      <c r="B196" s="1537" t="s">
        <v>1211</v>
      </c>
      <c r="C196" s="1538"/>
      <c r="D196" s="1539"/>
      <c r="E196" s="1540"/>
      <c r="F196" s="1539"/>
      <c r="G196" s="1539"/>
      <c r="H196" s="1539"/>
      <c r="I196" s="1348">
        <f t="shared" ref="I196:I218" si="93">SUM(L196:N196)</f>
        <v>0</v>
      </c>
      <c r="J196" s="1348">
        <f t="shared" ref="J196:J218" si="94">SUM(I196)/1.27</f>
        <v>0</v>
      </c>
      <c r="K196" s="1347">
        <f t="shared" ref="K196:K218" si="95">SUM(J196)*0.27</f>
        <v>0</v>
      </c>
      <c r="L196" s="1137">
        <v>0</v>
      </c>
      <c r="M196" s="1137">
        <v>0</v>
      </c>
      <c r="N196" s="1347">
        <v>0</v>
      </c>
      <c r="O196" s="1349">
        <f t="shared" ref="O196:O218" si="96">SUM(P196:R196)</f>
        <v>173095</v>
      </c>
      <c r="P196" s="1252">
        <v>173095</v>
      </c>
      <c r="Q196" s="1252"/>
      <c r="R196" s="1252"/>
      <c r="S196" s="1350">
        <f t="shared" si="80"/>
        <v>173095</v>
      </c>
      <c r="T196" s="451">
        <f>SUM(S196)/1.27</f>
        <v>136295</v>
      </c>
      <c r="U196" s="660">
        <f>SUM(T196)*0.27</f>
        <v>36800</v>
      </c>
      <c r="V196" s="451">
        <f>SUM(L196+P196)</f>
        <v>173095</v>
      </c>
      <c r="W196" s="451">
        <f>SUM(M196+Q196)</f>
        <v>0</v>
      </c>
      <c r="X196" s="660">
        <f>SUM(N196+R196)</f>
        <v>0</v>
      </c>
      <c r="Y196" s="1352">
        <v>110441</v>
      </c>
      <c r="Z196" s="1137">
        <v>86962</v>
      </c>
      <c r="AA196" s="1347">
        <v>23479</v>
      </c>
      <c r="AB196" s="1137">
        <f t="shared" si="88"/>
        <v>110441</v>
      </c>
      <c r="AC196" s="1137"/>
      <c r="AD196" s="1347"/>
    </row>
    <row r="197" spans="1:30" s="293" customFormat="1" ht="15" customHeight="1">
      <c r="A197" s="1555"/>
      <c r="B197" s="1537" t="s">
        <v>1212</v>
      </c>
      <c r="C197" s="1538"/>
      <c r="D197" s="1539"/>
      <c r="E197" s="1540"/>
      <c r="F197" s="1539"/>
      <c r="G197" s="1539"/>
      <c r="H197" s="1539"/>
      <c r="I197" s="1348">
        <f t="shared" si="93"/>
        <v>0</v>
      </c>
      <c r="J197" s="1348">
        <f t="shared" si="94"/>
        <v>0</v>
      </c>
      <c r="K197" s="1347">
        <f t="shared" si="95"/>
        <v>0</v>
      </c>
      <c r="L197" s="1137">
        <v>0</v>
      </c>
      <c r="M197" s="1137">
        <v>0</v>
      </c>
      <c r="N197" s="1347">
        <v>0</v>
      </c>
      <c r="O197" s="1349">
        <f t="shared" si="96"/>
        <v>23599</v>
      </c>
      <c r="P197" s="1252">
        <v>23599</v>
      </c>
      <c r="Q197" s="1252"/>
      <c r="R197" s="1252"/>
      <c r="S197" s="1350">
        <f t="shared" si="80"/>
        <v>30403</v>
      </c>
      <c r="T197" s="451">
        <f>SUM(S197)/1.27</f>
        <v>23939</v>
      </c>
      <c r="U197" s="660">
        <f>SUM(T197)*0.27</f>
        <v>6464</v>
      </c>
      <c r="V197" s="451">
        <v>30403</v>
      </c>
      <c r="W197" s="451">
        <f t="shared" ref="W197:W218" si="97">SUM(M197+Q197)</f>
        <v>0</v>
      </c>
      <c r="X197" s="660">
        <f t="shared" ref="X197:X218" si="98">SUM(N197+R197)</f>
        <v>0</v>
      </c>
      <c r="Y197" s="1352">
        <v>52185</v>
      </c>
      <c r="Z197" s="1137">
        <v>41090</v>
      </c>
      <c r="AA197" s="1347">
        <v>11095</v>
      </c>
      <c r="AB197" s="1137">
        <f t="shared" si="88"/>
        <v>52185</v>
      </c>
      <c r="AC197" s="1137"/>
      <c r="AD197" s="1347"/>
    </row>
    <row r="198" spans="1:30" s="293" customFormat="1" ht="15" customHeight="1">
      <c r="A198" s="1555"/>
      <c r="B198" s="1537" t="s">
        <v>1213</v>
      </c>
      <c r="C198" s="1538"/>
      <c r="D198" s="1539"/>
      <c r="E198" s="1540"/>
      <c r="F198" s="1539"/>
      <c r="G198" s="1539"/>
      <c r="H198" s="1539"/>
      <c r="I198" s="1348">
        <f t="shared" si="93"/>
        <v>0</v>
      </c>
      <c r="J198" s="1348">
        <f t="shared" si="94"/>
        <v>0</v>
      </c>
      <c r="K198" s="1347">
        <f t="shared" si="95"/>
        <v>0</v>
      </c>
      <c r="L198" s="1137">
        <v>0</v>
      </c>
      <c r="M198" s="1137">
        <v>0</v>
      </c>
      <c r="N198" s="1347">
        <v>0</v>
      </c>
      <c r="O198" s="1349">
        <f t="shared" si="96"/>
        <v>43990</v>
      </c>
      <c r="P198" s="1252">
        <v>43990</v>
      </c>
      <c r="Q198" s="1252"/>
      <c r="R198" s="1252"/>
      <c r="S198" s="1350">
        <f t="shared" si="80"/>
        <v>133025</v>
      </c>
      <c r="T198" s="451">
        <f>SUM(S198)/1.27</f>
        <v>104744</v>
      </c>
      <c r="U198" s="660">
        <f>SUM(T198)*0.27</f>
        <v>28281</v>
      </c>
      <c r="V198" s="451">
        <v>133025</v>
      </c>
      <c r="W198" s="451">
        <f t="shared" si="97"/>
        <v>0</v>
      </c>
      <c r="X198" s="660">
        <f t="shared" si="98"/>
        <v>0</v>
      </c>
      <c r="Y198" s="1352">
        <v>152842</v>
      </c>
      <c r="Z198" s="1137">
        <v>120348</v>
      </c>
      <c r="AA198" s="1347">
        <v>32494</v>
      </c>
      <c r="AB198" s="1137">
        <f t="shared" si="88"/>
        <v>152842</v>
      </c>
      <c r="AC198" s="1137"/>
      <c r="AD198" s="1347"/>
    </row>
    <row r="199" spans="1:30" s="293" customFormat="1" ht="15" customHeight="1">
      <c r="A199" s="1555"/>
      <c r="B199" s="1537" t="s">
        <v>1214</v>
      </c>
      <c r="C199" s="1538"/>
      <c r="D199" s="1539"/>
      <c r="E199" s="1540"/>
      <c r="F199" s="1539"/>
      <c r="G199" s="1539"/>
      <c r="H199" s="1539"/>
      <c r="I199" s="1348">
        <f t="shared" si="93"/>
        <v>0</v>
      </c>
      <c r="J199" s="1348">
        <f t="shared" si="94"/>
        <v>0</v>
      </c>
      <c r="K199" s="1347">
        <f t="shared" si="95"/>
        <v>0</v>
      </c>
      <c r="L199" s="1137">
        <v>0</v>
      </c>
      <c r="M199" s="1137">
        <v>0</v>
      </c>
      <c r="N199" s="1347">
        <v>0</v>
      </c>
      <c r="O199" s="1349">
        <f t="shared" si="96"/>
        <v>71676</v>
      </c>
      <c r="P199" s="1252">
        <v>71676</v>
      </c>
      <c r="Q199" s="1252"/>
      <c r="R199" s="1252"/>
      <c r="S199" s="1350">
        <f t="shared" si="80"/>
        <v>110441</v>
      </c>
      <c r="T199" s="451">
        <f>SUM(S199)/1.27+1</f>
        <v>86962</v>
      </c>
      <c r="U199" s="660">
        <f>SUM(T199)*0.27-1</f>
        <v>23479</v>
      </c>
      <c r="V199" s="451">
        <v>110441</v>
      </c>
      <c r="W199" s="451">
        <f t="shared" si="97"/>
        <v>0</v>
      </c>
      <c r="X199" s="660">
        <f t="shared" si="98"/>
        <v>0</v>
      </c>
      <c r="Y199" s="1352"/>
      <c r="Z199" s="1137"/>
      <c r="AA199" s="1347"/>
      <c r="AB199" s="1137">
        <f t="shared" si="88"/>
        <v>0</v>
      </c>
      <c r="AC199" s="1137"/>
      <c r="AD199" s="1347"/>
    </row>
    <row r="200" spans="1:30" s="293" customFormat="1" ht="15" customHeight="1">
      <c r="A200" s="1555"/>
      <c r="B200" s="1537" t="s">
        <v>1215</v>
      </c>
      <c r="C200" s="1538"/>
      <c r="D200" s="1539"/>
      <c r="E200" s="1540"/>
      <c r="F200" s="1539"/>
      <c r="G200" s="1539"/>
      <c r="H200" s="1539"/>
      <c r="I200" s="1348">
        <f t="shared" si="93"/>
        <v>0</v>
      </c>
      <c r="J200" s="1348">
        <f t="shared" si="94"/>
        <v>0</v>
      </c>
      <c r="K200" s="1347">
        <f t="shared" si="95"/>
        <v>0</v>
      </c>
      <c r="L200" s="1137">
        <v>0</v>
      </c>
      <c r="M200" s="1137">
        <v>0</v>
      </c>
      <c r="N200" s="1347">
        <v>0</v>
      </c>
      <c r="O200" s="1349">
        <f t="shared" si="96"/>
        <v>52185</v>
      </c>
      <c r="P200" s="1252">
        <v>52185</v>
      </c>
      <c r="Q200" s="1252"/>
      <c r="R200" s="1252"/>
      <c r="S200" s="1350">
        <f t="shared" si="80"/>
        <v>52185</v>
      </c>
      <c r="T200" s="451">
        <f>SUM(S200)/1.27-1</f>
        <v>41090</v>
      </c>
      <c r="U200" s="660">
        <f>SUM(T200)*0.27+1</f>
        <v>11095</v>
      </c>
      <c r="V200" s="451">
        <v>52185</v>
      </c>
      <c r="W200" s="451">
        <f t="shared" si="97"/>
        <v>0</v>
      </c>
      <c r="X200" s="660">
        <f t="shared" si="98"/>
        <v>0</v>
      </c>
      <c r="Y200" s="1352"/>
      <c r="Z200" s="1137"/>
      <c r="AA200" s="1347"/>
      <c r="AB200" s="1137">
        <f t="shared" si="88"/>
        <v>0</v>
      </c>
      <c r="AC200" s="1137"/>
      <c r="AD200" s="1347"/>
    </row>
    <row r="201" spans="1:30" s="293" customFormat="1" ht="15" customHeight="1">
      <c r="A201" s="1555"/>
      <c r="B201" s="1537" t="s">
        <v>1216</v>
      </c>
      <c r="C201" s="1538"/>
      <c r="D201" s="1539"/>
      <c r="E201" s="1540"/>
      <c r="F201" s="1539"/>
      <c r="G201" s="1539"/>
      <c r="H201" s="1539"/>
      <c r="I201" s="1348">
        <f t="shared" si="93"/>
        <v>0</v>
      </c>
      <c r="J201" s="1348">
        <f t="shared" si="94"/>
        <v>0</v>
      </c>
      <c r="K201" s="1347">
        <f t="shared" si="95"/>
        <v>0</v>
      </c>
      <c r="L201" s="1137">
        <v>0</v>
      </c>
      <c r="M201" s="1137">
        <v>0</v>
      </c>
      <c r="N201" s="1347">
        <v>0</v>
      </c>
      <c r="O201" s="1349">
        <f t="shared" si="96"/>
        <v>61722</v>
      </c>
      <c r="P201" s="1252">
        <v>61722</v>
      </c>
      <c r="Q201" s="1252"/>
      <c r="R201" s="1252"/>
      <c r="S201" s="1350">
        <f t="shared" si="80"/>
        <v>152842</v>
      </c>
      <c r="T201" s="451">
        <f t="shared" ref="T201:T245" si="99">SUM(S201)/1.27</f>
        <v>120348</v>
      </c>
      <c r="U201" s="660">
        <f t="shared" ref="U201:U245" si="100">SUM(T201)*0.27</f>
        <v>32494</v>
      </c>
      <c r="V201" s="451">
        <v>152842</v>
      </c>
      <c r="W201" s="451">
        <f t="shared" si="97"/>
        <v>0</v>
      </c>
      <c r="X201" s="660">
        <f t="shared" si="98"/>
        <v>0</v>
      </c>
      <c r="Y201" s="1352"/>
      <c r="Z201" s="1137"/>
      <c r="AA201" s="1347"/>
      <c r="AB201" s="1137">
        <f t="shared" si="88"/>
        <v>0</v>
      </c>
      <c r="AC201" s="1137"/>
      <c r="AD201" s="1347"/>
    </row>
    <row r="202" spans="1:30" s="293" customFormat="1" ht="15" hidden="1" customHeight="1">
      <c r="A202" s="1555"/>
      <c r="B202" s="1537"/>
      <c r="C202" s="1538"/>
      <c r="D202" s="1539"/>
      <c r="E202" s="1540"/>
      <c r="F202" s="1539"/>
      <c r="G202" s="1539"/>
      <c r="H202" s="1539"/>
      <c r="I202" s="1348">
        <f t="shared" si="93"/>
        <v>0</v>
      </c>
      <c r="J202" s="1348">
        <f t="shared" si="94"/>
        <v>0</v>
      </c>
      <c r="K202" s="1347">
        <f t="shared" si="95"/>
        <v>0</v>
      </c>
      <c r="L202" s="1137">
        <v>0</v>
      </c>
      <c r="M202" s="1137">
        <v>0</v>
      </c>
      <c r="N202" s="1347">
        <v>0</v>
      </c>
      <c r="O202" s="1349">
        <f t="shared" si="96"/>
        <v>0</v>
      </c>
      <c r="P202" s="1252"/>
      <c r="Q202" s="1252"/>
      <c r="R202" s="1252"/>
      <c r="S202" s="1350">
        <f t="shared" si="80"/>
        <v>0</v>
      </c>
      <c r="T202" s="451">
        <f t="shared" si="99"/>
        <v>0</v>
      </c>
      <c r="U202" s="660">
        <f t="shared" si="100"/>
        <v>0</v>
      </c>
      <c r="V202" s="451">
        <f t="shared" ref="V202:V218" si="101">SUM(L202+P202)</f>
        <v>0</v>
      </c>
      <c r="W202" s="451">
        <f t="shared" si="97"/>
        <v>0</v>
      </c>
      <c r="X202" s="660">
        <f t="shared" si="98"/>
        <v>0</v>
      </c>
      <c r="Y202" s="1352"/>
      <c r="Z202" s="1137"/>
      <c r="AA202" s="1347"/>
      <c r="AB202" s="1137">
        <f t="shared" si="88"/>
        <v>0</v>
      </c>
      <c r="AC202" s="1137"/>
      <c r="AD202" s="1347"/>
    </row>
    <row r="203" spans="1:30" s="293" customFormat="1" ht="15" hidden="1" customHeight="1">
      <c r="A203" s="1555"/>
      <c r="B203" s="1537"/>
      <c r="C203" s="1538"/>
      <c r="D203" s="1539"/>
      <c r="E203" s="1540"/>
      <c r="F203" s="1539"/>
      <c r="G203" s="1539"/>
      <c r="H203" s="1539"/>
      <c r="I203" s="1348">
        <f t="shared" si="93"/>
        <v>0</v>
      </c>
      <c r="J203" s="1348">
        <f t="shared" si="94"/>
        <v>0</v>
      </c>
      <c r="K203" s="1347">
        <f t="shared" si="95"/>
        <v>0</v>
      </c>
      <c r="L203" s="1137">
        <v>0</v>
      </c>
      <c r="M203" s="1137">
        <v>0</v>
      </c>
      <c r="N203" s="1347">
        <v>0</v>
      </c>
      <c r="O203" s="1349">
        <f t="shared" si="96"/>
        <v>0</v>
      </c>
      <c r="P203" s="1252"/>
      <c r="Q203" s="1252"/>
      <c r="R203" s="1252"/>
      <c r="S203" s="1350">
        <f t="shared" ref="S203:S234" si="102">SUM(V203:X203)</f>
        <v>0</v>
      </c>
      <c r="T203" s="451">
        <f t="shared" si="99"/>
        <v>0</v>
      </c>
      <c r="U203" s="660">
        <f t="shared" si="100"/>
        <v>0</v>
      </c>
      <c r="V203" s="451">
        <f t="shared" si="101"/>
        <v>0</v>
      </c>
      <c r="W203" s="451">
        <f t="shared" si="97"/>
        <v>0</v>
      </c>
      <c r="X203" s="660">
        <f t="shared" si="98"/>
        <v>0</v>
      </c>
      <c r="Y203" s="1352"/>
      <c r="Z203" s="1137"/>
      <c r="AA203" s="1347"/>
      <c r="AB203" s="1137">
        <f t="shared" si="88"/>
        <v>0</v>
      </c>
      <c r="AC203" s="1137"/>
      <c r="AD203" s="1347"/>
    </row>
    <row r="204" spans="1:30" s="293" customFormat="1" ht="15" hidden="1" customHeight="1">
      <c r="A204" s="1555"/>
      <c r="B204" s="1537"/>
      <c r="C204" s="1538"/>
      <c r="D204" s="1539"/>
      <c r="E204" s="1540"/>
      <c r="F204" s="1539"/>
      <c r="G204" s="1539"/>
      <c r="H204" s="1539"/>
      <c r="I204" s="1348">
        <f t="shared" si="93"/>
        <v>0</v>
      </c>
      <c r="J204" s="1348">
        <f t="shared" si="94"/>
        <v>0</v>
      </c>
      <c r="K204" s="1347">
        <f t="shared" si="95"/>
        <v>0</v>
      </c>
      <c r="L204" s="1137">
        <v>0</v>
      </c>
      <c r="M204" s="1137">
        <v>0</v>
      </c>
      <c r="N204" s="1347">
        <v>0</v>
      </c>
      <c r="O204" s="1349">
        <f t="shared" si="96"/>
        <v>0</v>
      </c>
      <c r="P204" s="1252"/>
      <c r="Q204" s="1252"/>
      <c r="R204" s="1252"/>
      <c r="S204" s="1350">
        <f t="shared" si="102"/>
        <v>0</v>
      </c>
      <c r="T204" s="451">
        <f t="shared" si="99"/>
        <v>0</v>
      </c>
      <c r="U204" s="660">
        <f t="shared" si="100"/>
        <v>0</v>
      </c>
      <c r="V204" s="451">
        <f t="shared" si="101"/>
        <v>0</v>
      </c>
      <c r="W204" s="451">
        <f t="shared" si="97"/>
        <v>0</v>
      </c>
      <c r="X204" s="660">
        <f t="shared" si="98"/>
        <v>0</v>
      </c>
      <c r="Y204" s="1352"/>
      <c r="Z204" s="1137"/>
      <c r="AA204" s="1347"/>
      <c r="AB204" s="1137">
        <f t="shared" si="88"/>
        <v>0</v>
      </c>
      <c r="AC204" s="1137"/>
      <c r="AD204" s="1347"/>
    </row>
    <row r="205" spans="1:30" s="293" customFormat="1" ht="15" hidden="1" customHeight="1">
      <c r="A205" s="1555"/>
      <c r="B205" s="1537"/>
      <c r="C205" s="1538"/>
      <c r="D205" s="1539"/>
      <c r="E205" s="1540"/>
      <c r="F205" s="1539"/>
      <c r="G205" s="1539"/>
      <c r="H205" s="1539"/>
      <c r="I205" s="1348">
        <f t="shared" si="93"/>
        <v>0</v>
      </c>
      <c r="J205" s="1348">
        <f t="shared" si="94"/>
        <v>0</v>
      </c>
      <c r="K205" s="1347">
        <f t="shared" si="95"/>
        <v>0</v>
      </c>
      <c r="L205" s="1137">
        <v>0</v>
      </c>
      <c r="M205" s="1137">
        <v>0</v>
      </c>
      <c r="N205" s="1347">
        <v>0</v>
      </c>
      <c r="O205" s="1349">
        <f t="shared" si="96"/>
        <v>0</v>
      </c>
      <c r="P205" s="1252"/>
      <c r="Q205" s="1252"/>
      <c r="R205" s="1252"/>
      <c r="S205" s="1350">
        <f t="shared" si="102"/>
        <v>0</v>
      </c>
      <c r="T205" s="451">
        <f t="shared" si="99"/>
        <v>0</v>
      </c>
      <c r="U205" s="660">
        <f t="shared" si="100"/>
        <v>0</v>
      </c>
      <c r="V205" s="451">
        <f t="shared" si="101"/>
        <v>0</v>
      </c>
      <c r="W205" s="451">
        <f t="shared" si="97"/>
        <v>0</v>
      </c>
      <c r="X205" s="660">
        <f t="shared" si="98"/>
        <v>0</v>
      </c>
      <c r="Y205" s="1352"/>
      <c r="Z205" s="1137"/>
      <c r="AA205" s="1347"/>
      <c r="AB205" s="1137">
        <f t="shared" si="88"/>
        <v>0</v>
      </c>
      <c r="AC205" s="1137"/>
      <c r="AD205" s="1347"/>
    </row>
    <row r="206" spans="1:30" s="293" customFormat="1" ht="15" hidden="1" customHeight="1">
      <c r="A206" s="1555"/>
      <c r="B206" s="1537"/>
      <c r="C206" s="1538"/>
      <c r="D206" s="1539"/>
      <c r="E206" s="1540"/>
      <c r="F206" s="1539"/>
      <c r="G206" s="1539"/>
      <c r="H206" s="1539"/>
      <c r="I206" s="1348">
        <f t="shared" si="93"/>
        <v>0</v>
      </c>
      <c r="J206" s="1348">
        <f t="shared" si="94"/>
        <v>0</v>
      </c>
      <c r="K206" s="1347">
        <f t="shared" si="95"/>
        <v>0</v>
      </c>
      <c r="L206" s="1137">
        <v>0</v>
      </c>
      <c r="M206" s="1137">
        <v>0</v>
      </c>
      <c r="N206" s="1347">
        <v>0</v>
      </c>
      <c r="O206" s="1349">
        <f t="shared" si="96"/>
        <v>0</v>
      </c>
      <c r="P206" s="1252"/>
      <c r="Q206" s="1252"/>
      <c r="R206" s="1252"/>
      <c r="S206" s="1350">
        <f t="shared" si="102"/>
        <v>0</v>
      </c>
      <c r="T206" s="451">
        <f t="shared" si="99"/>
        <v>0</v>
      </c>
      <c r="U206" s="660">
        <f t="shared" si="100"/>
        <v>0</v>
      </c>
      <c r="V206" s="451">
        <f t="shared" si="101"/>
        <v>0</v>
      </c>
      <c r="W206" s="451">
        <f t="shared" si="97"/>
        <v>0</v>
      </c>
      <c r="X206" s="660">
        <f t="shared" si="98"/>
        <v>0</v>
      </c>
      <c r="Y206" s="1352"/>
      <c r="Z206" s="1137"/>
      <c r="AA206" s="1347"/>
      <c r="AB206" s="1137">
        <f t="shared" si="88"/>
        <v>0</v>
      </c>
      <c r="AC206" s="1137"/>
      <c r="AD206" s="1347"/>
    </row>
    <row r="207" spans="1:30" s="293" customFormat="1" ht="15" hidden="1" customHeight="1">
      <c r="A207" s="1555"/>
      <c r="B207" s="1537"/>
      <c r="C207" s="1538"/>
      <c r="D207" s="1539"/>
      <c r="E207" s="1540"/>
      <c r="F207" s="1539"/>
      <c r="G207" s="1539"/>
      <c r="H207" s="1539"/>
      <c r="I207" s="1348">
        <f t="shared" si="93"/>
        <v>0</v>
      </c>
      <c r="J207" s="1348">
        <f t="shared" si="94"/>
        <v>0</v>
      </c>
      <c r="K207" s="1347">
        <f t="shared" si="95"/>
        <v>0</v>
      </c>
      <c r="L207" s="1137">
        <v>0</v>
      </c>
      <c r="M207" s="1137">
        <v>0</v>
      </c>
      <c r="N207" s="1347">
        <v>0</v>
      </c>
      <c r="O207" s="1349">
        <f t="shared" si="96"/>
        <v>0</v>
      </c>
      <c r="P207" s="1252"/>
      <c r="Q207" s="1252"/>
      <c r="R207" s="1252"/>
      <c r="S207" s="1350">
        <f t="shared" si="102"/>
        <v>0</v>
      </c>
      <c r="T207" s="451">
        <f t="shared" si="99"/>
        <v>0</v>
      </c>
      <c r="U207" s="660">
        <f t="shared" si="100"/>
        <v>0</v>
      </c>
      <c r="V207" s="451">
        <f t="shared" si="101"/>
        <v>0</v>
      </c>
      <c r="W207" s="451">
        <f t="shared" si="97"/>
        <v>0</v>
      </c>
      <c r="X207" s="660">
        <f t="shared" si="98"/>
        <v>0</v>
      </c>
      <c r="Y207" s="1352"/>
      <c r="Z207" s="1137"/>
      <c r="AA207" s="1347"/>
      <c r="AB207" s="1137">
        <f t="shared" si="88"/>
        <v>0</v>
      </c>
      <c r="AC207" s="1137"/>
      <c r="AD207" s="1347"/>
    </row>
    <row r="208" spans="1:30" s="293" customFormat="1" ht="15" hidden="1" customHeight="1">
      <c r="A208" s="1555"/>
      <c r="B208" s="1537"/>
      <c r="C208" s="1538"/>
      <c r="D208" s="1539"/>
      <c r="E208" s="1540"/>
      <c r="F208" s="1539"/>
      <c r="G208" s="1539"/>
      <c r="H208" s="1539"/>
      <c r="I208" s="1348">
        <f t="shared" si="93"/>
        <v>0</v>
      </c>
      <c r="J208" s="1348">
        <f t="shared" si="94"/>
        <v>0</v>
      </c>
      <c r="K208" s="1347">
        <f t="shared" si="95"/>
        <v>0</v>
      </c>
      <c r="L208" s="1137">
        <v>0</v>
      </c>
      <c r="M208" s="1137">
        <v>0</v>
      </c>
      <c r="N208" s="1347">
        <v>0</v>
      </c>
      <c r="O208" s="1349">
        <f t="shared" si="96"/>
        <v>0</v>
      </c>
      <c r="P208" s="1252"/>
      <c r="Q208" s="1252"/>
      <c r="R208" s="1252"/>
      <c r="S208" s="1350">
        <f t="shared" si="102"/>
        <v>0</v>
      </c>
      <c r="T208" s="451">
        <f t="shared" si="99"/>
        <v>0</v>
      </c>
      <c r="U208" s="660">
        <f t="shared" si="100"/>
        <v>0</v>
      </c>
      <c r="V208" s="451">
        <f t="shared" si="101"/>
        <v>0</v>
      </c>
      <c r="W208" s="451">
        <f t="shared" si="97"/>
        <v>0</v>
      </c>
      <c r="X208" s="660">
        <f t="shared" si="98"/>
        <v>0</v>
      </c>
      <c r="Y208" s="1352"/>
      <c r="Z208" s="1137"/>
      <c r="AA208" s="1347"/>
      <c r="AB208" s="1137">
        <f t="shared" si="88"/>
        <v>0</v>
      </c>
      <c r="AC208" s="1137"/>
      <c r="AD208" s="1347"/>
    </row>
    <row r="209" spans="1:30" s="293" customFormat="1" ht="15" hidden="1" customHeight="1">
      <c r="A209" s="1555"/>
      <c r="B209" s="1537"/>
      <c r="C209" s="1538"/>
      <c r="D209" s="1539"/>
      <c r="E209" s="1540"/>
      <c r="F209" s="1539"/>
      <c r="G209" s="1539"/>
      <c r="H209" s="1539"/>
      <c r="I209" s="1348">
        <f t="shared" si="93"/>
        <v>0</v>
      </c>
      <c r="J209" s="1348">
        <f t="shared" si="94"/>
        <v>0</v>
      </c>
      <c r="K209" s="1347">
        <f t="shared" si="95"/>
        <v>0</v>
      </c>
      <c r="L209" s="1137">
        <v>0</v>
      </c>
      <c r="M209" s="1137">
        <v>0</v>
      </c>
      <c r="N209" s="1347">
        <v>0</v>
      </c>
      <c r="O209" s="1349">
        <f t="shared" si="96"/>
        <v>0</v>
      </c>
      <c r="P209" s="1252"/>
      <c r="Q209" s="1252"/>
      <c r="R209" s="1252"/>
      <c r="S209" s="1350">
        <f t="shared" si="102"/>
        <v>0</v>
      </c>
      <c r="T209" s="451">
        <f t="shared" si="99"/>
        <v>0</v>
      </c>
      <c r="U209" s="660">
        <f t="shared" si="100"/>
        <v>0</v>
      </c>
      <c r="V209" s="451">
        <f t="shared" si="101"/>
        <v>0</v>
      </c>
      <c r="W209" s="451">
        <f t="shared" si="97"/>
        <v>0</v>
      </c>
      <c r="X209" s="660">
        <f t="shared" si="98"/>
        <v>0</v>
      </c>
      <c r="Y209" s="1352"/>
      <c r="Z209" s="1137"/>
      <c r="AA209" s="1347"/>
      <c r="AB209" s="1137">
        <f t="shared" si="88"/>
        <v>0</v>
      </c>
      <c r="AC209" s="1137"/>
      <c r="AD209" s="1347"/>
    </row>
    <row r="210" spans="1:30" s="293" customFormat="1" ht="15" hidden="1" customHeight="1">
      <c r="A210" s="1555"/>
      <c r="B210" s="1537"/>
      <c r="C210" s="1538"/>
      <c r="D210" s="1539"/>
      <c r="E210" s="1540"/>
      <c r="F210" s="1539"/>
      <c r="G210" s="1539"/>
      <c r="H210" s="1539"/>
      <c r="I210" s="1348">
        <f t="shared" si="93"/>
        <v>0</v>
      </c>
      <c r="J210" s="1348">
        <f t="shared" si="94"/>
        <v>0</v>
      </c>
      <c r="K210" s="1347">
        <f t="shared" si="95"/>
        <v>0</v>
      </c>
      <c r="L210" s="1137">
        <v>0</v>
      </c>
      <c r="M210" s="1137">
        <v>0</v>
      </c>
      <c r="N210" s="1347">
        <v>0</v>
      </c>
      <c r="O210" s="1349">
        <f t="shared" si="96"/>
        <v>0</v>
      </c>
      <c r="P210" s="1252"/>
      <c r="Q210" s="1252"/>
      <c r="R210" s="1252"/>
      <c r="S210" s="1350">
        <f t="shared" si="102"/>
        <v>0</v>
      </c>
      <c r="T210" s="451">
        <f t="shared" si="99"/>
        <v>0</v>
      </c>
      <c r="U210" s="660">
        <f t="shared" si="100"/>
        <v>0</v>
      </c>
      <c r="V210" s="451">
        <f t="shared" si="101"/>
        <v>0</v>
      </c>
      <c r="W210" s="451">
        <f t="shared" si="97"/>
        <v>0</v>
      </c>
      <c r="X210" s="660">
        <f t="shared" si="98"/>
        <v>0</v>
      </c>
      <c r="Y210" s="1352"/>
      <c r="Z210" s="1137"/>
      <c r="AA210" s="1347"/>
      <c r="AB210" s="1137">
        <f t="shared" si="88"/>
        <v>0</v>
      </c>
      <c r="AC210" s="1137"/>
      <c r="AD210" s="1347"/>
    </row>
    <row r="211" spans="1:30" s="293" customFormat="1" ht="15" hidden="1" customHeight="1">
      <c r="A211" s="1555"/>
      <c r="B211" s="1537"/>
      <c r="C211" s="1538"/>
      <c r="D211" s="1539"/>
      <c r="E211" s="1540"/>
      <c r="F211" s="1539"/>
      <c r="G211" s="1539"/>
      <c r="H211" s="1539"/>
      <c r="I211" s="1348">
        <f t="shared" si="93"/>
        <v>0</v>
      </c>
      <c r="J211" s="1348">
        <f t="shared" si="94"/>
        <v>0</v>
      </c>
      <c r="K211" s="1347">
        <f t="shared" si="95"/>
        <v>0</v>
      </c>
      <c r="L211" s="1137">
        <v>0</v>
      </c>
      <c r="M211" s="1137">
        <v>0</v>
      </c>
      <c r="N211" s="1347">
        <v>0</v>
      </c>
      <c r="O211" s="1349">
        <f t="shared" si="96"/>
        <v>0</v>
      </c>
      <c r="P211" s="1252"/>
      <c r="Q211" s="1252"/>
      <c r="R211" s="1252"/>
      <c r="S211" s="1350">
        <f t="shared" si="102"/>
        <v>0</v>
      </c>
      <c r="T211" s="451">
        <f t="shared" si="99"/>
        <v>0</v>
      </c>
      <c r="U211" s="660">
        <f t="shared" si="100"/>
        <v>0</v>
      </c>
      <c r="V211" s="451">
        <f t="shared" si="101"/>
        <v>0</v>
      </c>
      <c r="W211" s="451">
        <f t="shared" si="97"/>
        <v>0</v>
      </c>
      <c r="X211" s="660">
        <f t="shared" si="98"/>
        <v>0</v>
      </c>
      <c r="Y211" s="1352"/>
      <c r="Z211" s="1137"/>
      <c r="AA211" s="1347"/>
      <c r="AB211" s="1137">
        <f t="shared" si="88"/>
        <v>0</v>
      </c>
      <c r="AC211" s="1137"/>
      <c r="AD211" s="1347"/>
    </row>
    <row r="212" spans="1:30" s="293" customFormat="1" ht="15" hidden="1" customHeight="1">
      <c r="A212" s="1555"/>
      <c r="B212" s="1537"/>
      <c r="C212" s="1538"/>
      <c r="D212" s="1539"/>
      <c r="E212" s="1540"/>
      <c r="F212" s="1539"/>
      <c r="G212" s="1539"/>
      <c r="H212" s="1539"/>
      <c r="I212" s="1348">
        <f t="shared" si="93"/>
        <v>0</v>
      </c>
      <c r="J212" s="1348">
        <f t="shared" si="94"/>
        <v>0</v>
      </c>
      <c r="K212" s="1347">
        <f t="shared" si="95"/>
        <v>0</v>
      </c>
      <c r="L212" s="1137">
        <v>0</v>
      </c>
      <c r="M212" s="1137">
        <v>0</v>
      </c>
      <c r="N212" s="1347">
        <v>0</v>
      </c>
      <c r="O212" s="1349">
        <f t="shared" si="96"/>
        <v>0</v>
      </c>
      <c r="P212" s="1252"/>
      <c r="Q212" s="1252"/>
      <c r="R212" s="1252"/>
      <c r="S212" s="1350">
        <f t="shared" si="102"/>
        <v>0</v>
      </c>
      <c r="T212" s="451">
        <f t="shared" si="99"/>
        <v>0</v>
      </c>
      <c r="U212" s="660">
        <f t="shared" si="100"/>
        <v>0</v>
      </c>
      <c r="V212" s="451">
        <f t="shared" si="101"/>
        <v>0</v>
      </c>
      <c r="W212" s="451">
        <f t="shared" si="97"/>
        <v>0</v>
      </c>
      <c r="X212" s="660">
        <f t="shared" si="98"/>
        <v>0</v>
      </c>
      <c r="Y212" s="1352"/>
      <c r="Z212" s="1137"/>
      <c r="AA212" s="1347"/>
      <c r="AB212" s="1137">
        <f t="shared" si="88"/>
        <v>0</v>
      </c>
      <c r="AC212" s="1137"/>
      <c r="AD212" s="1347"/>
    </row>
    <row r="213" spans="1:30" s="293" customFormat="1" ht="15" hidden="1" customHeight="1">
      <c r="A213" s="1555"/>
      <c r="B213" s="1537"/>
      <c r="C213" s="1538"/>
      <c r="D213" s="1539"/>
      <c r="E213" s="1540"/>
      <c r="F213" s="1539"/>
      <c r="G213" s="1539"/>
      <c r="H213" s="1539"/>
      <c r="I213" s="1348">
        <f t="shared" si="93"/>
        <v>0</v>
      </c>
      <c r="J213" s="1348">
        <f t="shared" si="94"/>
        <v>0</v>
      </c>
      <c r="K213" s="1347">
        <f t="shared" si="95"/>
        <v>0</v>
      </c>
      <c r="L213" s="1137">
        <v>0</v>
      </c>
      <c r="M213" s="1137">
        <v>0</v>
      </c>
      <c r="N213" s="1347">
        <v>0</v>
      </c>
      <c r="O213" s="1349">
        <f t="shared" si="96"/>
        <v>0</v>
      </c>
      <c r="P213" s="1252"/>
      <c r="Q213" s="1252"/>
      <c r="R213" s="1252"/>
      <c r="S213" s="1350">
        <f t="shared" si="102"/>
        <v>0</v>
      </c>
      <c r="T213" s="451">
        <f t="shared" si="99"/>
        <v>0</v>
      </c>
      <c r="U213" s="660">
        <f t="shared" si="100"/>
        <v>0</v>
      </c>
      <c r="V213" s="451">
        <f t="shared" si="101"/>
        <v>0</v>
      </c>
      <c r="W213" s="451">
        <f t="shared" si="97"/>
        <v>0</v>
      </c>
      <c r="X213" s="660">
        <f t="shared" si="98"/>
        <v>0</v>
      </c>
      <c r="Y213" s="1352"/>
      <c r="Z213" s="1137"/>
      <c r="AA213" s="1347"/>
      <c r="AB213" s="1137">
        <f t="shared" ref="AB213:AB244" si="103">SUM(Z213:AA213)</f>
        <v>0</v>
      </c>
      <c r="AC213" s="1137"/>
      <c r="AD213" s="1347"/>
    </row>
    <row r="214" spans="1:30" s="293" customFormat="1" ht="15" hidden="1" customHeight="1">
      <c r="A214" s="1555"/>
      <c r="B214" s="1537"/>
      <c r="C214" s="1538"/>
      <c r="D214" s="1539"/>
      <c r="E214" s="1540"/>
      <c r="F214" s="1539"/>
      <c r="G214" s="1539"/>
      <c r="H214" s="1539"/>
      <c r="I214" s="1348">
        <f t="shared" si="93"/>
        <v>0</v>
      </c>
      <c r="J214" s="1348">
        <f t="shared" si="94"/>
        <v>0</v>
      </c>
      <c r="K214" s="1347">
        <f t="shared" si="95"/>
        <v>0</v>
      </c>
      <c r="L214" s="1137">
        <v>0</v>
      </c>
      <c r="M214" s="1137">
        <v>0</v>
      </c>
      <c r="N214" s="1347">
        <v>0</v>
      </c>
      <c r="O214" s="1349">
        <f t="shared" si="96"/>
        <v>0</v>
      </c>
      <c r="P214" s="1252"/>
      <c r="Q214" s="1252"/>
      <c r="R214" s="1252"/>
      <c r="S214" s="1350">
        <f t="shared" si="102"/>
        <v>0</v>
      </c>
      <c r="T214" s="451">
        <f t="shared" si="99"/>
        <v>0</v>
      </c>
      <c r="U214" s="660">
        <f t="shared" si="100"/>
        <v>0</v>
      </c>
      <c r="V214" s="451">
        <f t="shared" si="101"/>
        <v>0</v>
      </c>
      <c r="W214" s="451">
        <f t="shared" si="97"/>
        <v>0</v>
      </c>
      <c r="X214" s="660">
        <f t="shared" si="98"/>
        <v>0</v>
      </c>
      <c r="Y214" s="1352"/>
      <c r="Z214" s="1137"/>
      <c r="AA214" s="1347"/>
      <c r="AB214" s="1137">
        <f t="shared" si="103"/>
        <v>0</v>
      </c>
      <c r="AC214" s="1137"/>
      <c r="AD214" s="1347"/>
    </row>
    <row r="215" spans="1:30" s="293" customFormat="1" ht="15" hidden="1" customHeight="1">
      <c r="A215" s="1555"/>
      <c r="B215" s="1537"/>
      <c r="C215" s="1538"/>
      <c r="D215" s="1539"/>
      <c r="E215" s="1540"/>
      <c r="F215" s="1539"/>
      <c r="G215" s="1539"/>
      <c r="H215" s="1539"/>
      <c r="I215" s="1348">
        <f t="shared" si="93"/>
        <v>0</v>
      </c>
      <c r="J215" s="1348">
        <f t="shared" si="94"/>
        <v>0</v>
      </c>
      <c r="K215" s="1347">
        <f t="shared" si="95"/>
        <v>0</v>
      </c>
      <c r="L215" s="1137">
        <v>0</v>
      </c>
      <c r="M215" s="1137">
        <v>0</v>
      </c>
      <c r="N215" s="1347">
        <v>0</v>
      </c>
      <c r="O215" s="1349">
        <f t="shared" si="96"/>
        <v>0</v>
      </c>
      <c r="P215" s="1252"/>
      <c r="Q215" s="1252"/>
      <c r="R215" s="1252"/>
      <c r="S215" s="1350">
        <f t="shared" si="102"/>
        <v>0</v>
      </c>
      <c r="T215" s="451">
        <f t="shared" si="99"/>
        <v>0</v>
      </c>
      <c r="U215" s="660">
        <f t="shared" si="100"/>
        <v>0</v>
      </c>
      <c r="V215" s="451">
        <f t="shared" si="101"/>
        <v>0</v>
      </c>
      <c r="W215" s="451">
        <f t="shared" si="97"/>
        <v>0</v>
      </c>
      <c r="X215" s="660">
        <f t="shared" si="98"/>
        <v>0</v>
      </c>
      <c r="Y215" s="1352"/>
      <c r="Z215" s="1137"/>
      <c r="AA215" s="1347"/>
      <c r="AB215" s="1137">
        <f t="shared" si="103"/>
        <v>0</v>
      </c>
      <c r="AC215" s="1137"/>
      <c r="AD215" s="1347"/>
    </row>
    <row r="216" spans="1:30" s="293" customFormat="1" ht="15" hidden="1" customHeight="1">
      <c r="A216" s="1555"/>
      <c r="B216" s="1537"/>
      <c r="C216" s="1538"/>
      <c r="D216" s="1539"/>
      <c r="E216" s="1540"/>
      <c r="F216" s="1539"/>
      <c r="G216" s="1539"/>
      <c r="H216" s="1539"/>
      <c r="I216" s="1348">
        <f t="shared" si="93"/>
        <v>0</v>
      </c>
      <c r="J216" s="1348">
        <f t="shared" si="94"/>
        <v>0</v>
      </c>
      <c r="K216" s="1347">
        <f t="shared" si="95"/>
        <v>0</v>
      </c>
      <c r="L216" s="1137">
        <v>0</v>
      </c>
      <c r="M216" s="1137">
        <v>0</v>
      </c>
      <c r="N216" s="1347">
        <v>0</v>
      </c>
      <c r="O216" s="1349">
        <f t="shared" si="96"/>
        <v>0</v>
      </c>
      <c r="P216" s="1252"/>
      <c r="Q216" s="1252"/>
      <c r="R216" s="1252"/>
      <c r="S216" s="1350">
        <f t="shared" si="102"/>
        <v>0</v>
      </c>
      <c r="T216" s="451">
        <f t="shared" si="99"/>
        <v>0</v>
      </c>
      <c r="U216" s="660">
        <f t="shared" si="100"/>
        <v>0</v>
      </c>
      <c r="V216" s="451">
        <f t="shared" si="101"/>
        <v>0</v>
      </c>
      <c r="W216" s="451">
        <f t="shared" si="97"/>
        <v>0</v>
      </c>
      <c r="X216" s="660">
        <f t="shared" si="98"/>
        <v>0</v>
      </c>
      <c r="Y216" s="1352"/>
      <c r="Z216" s="1137"/>
      <c r="AA216" s="1347"/>
      <c r="AB216" s="1137">
        <f t="shared" si="103"/>
        <v>0</v>
      </c>
      <c r="AC216" s="1137"/>
      <c r="AD216" s="1347"/>
    </row>
    <row r="217" spans="1:30" s="293" customFormat="1" ht="15" hidden="1" customHeight="1">
      <c r="A217" s="1555"/>
      <c r="B217" s="1537"/>
      <c r="C217" s="1538"/>
      <c r="D217" s="1539"/>
      <c r="E217" s="1540"/>
      <c r="F217" s="1539"/>
      <c r="G217" s="1539"/>
      <c r="H217" s="1539"/>
      <c r="I217" s="1348">
        <f t="shared" si="93"/>
        <v>0</v>
      </c>
      <c r="J217" s="1348">
        <f t="shared" si="94"/>
        <v>0</v>
      </c>
      <c r="K217" s="1347">
        <f t="shared" si="95"/>
        <v>0</v>
      </c>
      <c r="L217" s="1137">
        <v>0</v>
      </c>
      <c r="M217" s="1137">
        <v>0</v>
      </c>
      <c r="N217" s="1347">
        <v>0</v>
      </c>
      <c r="O217" s="1349">
        <f t="shared" si="96"/>
        <v>0</v>
      </c>
      <c r="P217" s="1252"/>
      <c r="Q217" s="1252"/>
      <c r="R217" s="1252"/>
      <c r="S217" s="1350">
        <f t="shared" si="102"/>
        <v>0</v>
      </c>
      <c r="T217" s="451">
        <f t="shared" si="99"/>
        <v>0</v>
      </c>
      <c r="U217" s="660">
        <f t="shared" si="100"/>
        <v>0</v>
      </c>
      <c r="V217" s="451">
        <f t="shared" si="101"/>
        <v>0</v>
      </c>
      <c r="W217" s="451">
        <f t="shared" si="97"/>
        <v>0</v>
      </c>
      <c r="X217" s="660">
        <f t="shared" si="98"/>
        <v>0</v>
      </c>
      <c r="Y217" s="1342"/>
      <c r="Z217" s="1335"/>
      <c r="AA217" s="1333"/>
      <c r="AB217" s="1137">
        <f t="shared" si="103"/>
        <v>0</v>
      </c>
      <c r="AC217" s="1335"/>
      <c r="AD217" s="1333"/>
    </row>
    <row r="218" spans="1:30" s="293" customFormat="1" ht="14.25" hidden="1" customHeight="1">
      <c r="A218" s="1555"/>
      <c r="B218" s="1537"/>
      <c r="C218" s="1538"/>
      <c r="D218" s="1539"/>
      <c r="E218" s="1540"/>
      <c r="F218" s="1539"/>
      <c r="G218" s="1539"/>
      <c r="H218" s="1539"/>
      <c r="I218" s="1348">
        <f t="shared" si="93"/>
        <v>0</v>
      </c>
      <c r="J218" s="1348">
        <f t="shared" si="94"/>
        <v>0</v>
      </c>
      <c r="K218" s="1347">
        <f t="shared" si="95"/>
        <v>0</v>
      </c>
      <c r="L218" s="1137">
        <v>0</v>
      </c>
      <c r="M218" s="1137">
        <v>0</v>
      </c>
      <c r="N218" s="1347">
        <v>0</v>
      </c>
      <c r="O218" s="1349">
        <f t="shared" si="96"/>
        <v>0</v>
      </c>
      <c r="P218" s="1252"/>
      <c r="Q218" s="1252"/>
      <c r="R218" s="1252"/>
      <c r="S218" s="1350">
        <f t="shared" si="102"/>
        <v>0</v>
      </c>
      <c r="T218" s="451">
        <f t="shared" si="99"/>
        <v>0</v>
      </c>
      <c r="U218" s="660">
        <f t="shared" si="100"/>
        <v>0</v>
      </c>
      <c r="V218" s="451">
        <f t="shared" si="101"/>
        <v>0</v>
      </c>
      <c r="W218" s="451">
        <f t="shared" si="97"/>
        <v>0</v>
      </c>
      <c r="X218" s="660">
        <f t="shared" si="98"/>
        <v>0</v>
      </c>
      <c r="Y218" s="1352"/>
      <c r="Z218" s="1137"/>
      <c r="AA218" s="1347"/>
      <c r="AB218" s="1137">
        <f t="shared" si="103"/>
        <v>0</v>
      </c>
      <c r="AC218" s="1408"/>
      <c r="AD218" s="1409"/>
    </row>
    <row r="219" spans="1:30" s="293" customFormat="1" ht="13.5" hidden="1" customHeight="1">
      <c r="A219" s="1555"/>
      <c r="B219" s="1537"/>
      <c r="C219" s="1538"/>
      <c r="D219" s="1539"/>
      <c r="E219" s="1540"/>
      <c r="F219" s="1539"/>
      <c r="G219" s="1539"/>
      <c r="H219" s="1539"/>
      <c r="I219" s="1348"/>
      <c r="J219" s="1348"/>
      <c r="K219" s="1347"/>
      <c r="L219" s="1137"/>
      <c r="M219" s="1137"/>
      <c r="N219" s="1347"/>
      <c r="O219" s="1372"/>
      <c r="P219" s="451"/>
      <c r="Q219" s="451"/>
      <c r="R219" s="451"/>
      <c r="S219" s="1350">
        <f t="shared" si="102"/>
        <v>0</v>
      </c>
      <c r="T219" s="451">
        <f t="shared" si="99"/>
        <v>0</v>
      </c>
      <c r="U219" s="660">
        <f t="shared" si="100"/>
        <v>0</v>
      </c>
      <c r="V219" s="451"/>
      <c r="W219" s="451"/>
      <c r="X219" s="660"/>
      <c r="Y219" s="1352"/>
      <c r="Z219" s="1137"/>
      <c r="AA219" s="1347"/>
      <c r="AB219" s="1137">
        <f t="shared" si="103"/>
        <v>0</v>
      </c>
      <c r="AC219" s="1137"/>
      <c r="AD219" s="1347"/>
    </row>
    <row r="220" spans="1:30" s="293" customFormat="1" ht="14.25" hidden="1" customHeight="1">
      <c r="A220" s="1532" t="s">
        <v>196</v>
      </c>
      <c r="B220" s="1565"/>
      <c r="C220" s="1566"/>
      <c r="D220" s="1567"/>
      <c r="E220" s="1568"/>
      <c r="F220" s="1567"/>
      <c r="G220" s="1567"/>
      <c r="H220" s="1567"/>
      <c r="I220" s="1334">
        <f t="shared" ref="I220:R220" si="104">SUM(I221:I222)</f>
        <v>0</v>
      </c>
      <c r="J220" s="1334">
        <f t="shared" si="104"/>
        <v>0</v>
      </c>
      <c r="K220" s="1333">
        <f t="shared" si="104"/>
        <v>0</v>
      </c>
      <c r="L220" s="1335">
        <f t="shared" si="104"/>
        <v>0</v>
      </c>
      <c r="M220" s="1335">
        <f t="shared" si="104"/>
        <v>0</v>
      </c>
      <c r="N220" s="1333">
        <f t="shared" si="104"/>
        <v>0</v>
      </c>
      <c r="O220" s="1336">
        <f t="shared" si="104"/>
        <v>0</v>
      </c>
      <c r="P220" s="1337">
        <f t="shared" si="104"/>
        <v>0</v>
      </c>
      <c r="Q220" s="1337">
        <f t="shared" si="104"/>
        <v>0</v>
      </c>
      <c r="R220" s="1337">
        <f t="shared" si="104"/>
        <v>0</v>
      </c>
      <c r="S220" s="1350">
        <f t="shared" si="102"/>
        <v>0</v>
      </c>
      <c r="T220" s="451">
        <f t="shared" si="99"/>
        <v>0</v>
      </c>
      <c r="U220" s="660">
        <f t="shared" si="100"/>
        <v>0</v>
      </c>
      <c r="V220" s="1341">
        <f>SUM(V221:V222)</f>
        <v>0</v>
      </c>
      <c r="W220" s="1341">
        <f>SUM(W221:W222)</f>
        <v>0</v>
      </c>
      <c r="X220" s="1340">
        <f>SUM(X221:X222)</f>
        <v>0</v>
      </c>
      <c r="Y220" s="1352"/>
      <c r="Z220" s="1137"/>
      <c r="AA220" s="1347"/>
      <c r="AB220" s="1137">
        <f t="shared" si="103"/>
        <v>0</v>
      </c>
      <c r="AC220" s="1137"/>
      <c r="AD220" s="1347"/>
    </row>
    <row r="221" spans="1:30" s="293" customFormat="1" ht="15" hidden="1" customHeight="1">
      <c r="A221" s="1555"/>
      <c r="B221" s="1537"/>
      <c r="C221" s="1538"/>
      <c r="D221" s="1539"/>
      <c r="E221" s="1540"/>
      <c r="F221" s="1539"/>
      <c r="G221" s="1539"/>
      <c r="H221" s="1539"/>
      <c r="I221" s="1348">
        <f>SUM(L221:N221)</f>
        <v>0</v>
      </c>
      <c r="J221" s="1569">
        <f>SUM(I221)/1.27</f>
        <v>0</v>
      </c>
      <c r="K221" s="1347">
        <f>SUM(J221)*0.27</f>
        <v>0</v>
      </c>
      <c r="L221" s="1137">
        <v>0</v>
      </c>
      <c r="M221" s="1137">
        <v>0</v>
      </c>
      <c r="N221" s="1347">
        <v>0</v>
      </c>
      <c r="O221" s="1349">
        <f>SUM(P221:R221)</f>
        <v>0</v>
      </c>
      <c r="P221" s="1252"/>
      <c r="Q221" s="1252"/>
      <c r="R221" s="1252"/>
      <c r="S221" s="1350">
        <f t="shared" si="102"/>
        <v>0</v>
      </c>
      <c r="T221" s="451">
        <f t="shared" si="99"/>
        <v>0</v>
      </c>
      <c r="U221" s="660">
        <f t="shared" si="100"/>
        <v>0</v>
      </c>
      <c r="V221" s="451">
        <f t="shared" ref="V221:X222" si="105">SUM(L221+P221)</f>
        <v>0</v>
      </c>
      <c r="W221" s="1406">
        <f t="shared" si="105"/>
        <v>0</v>
      </c>
      <c r="X221" s="1407">
        <f t="shared" si="105"/>
        <v>0</v>
      </c>
      <c r="Y221" s="1342"/>
      <c r="Z221" s="1335"/>
      <c r="AA221" s="1333"/>
      <c r="AB221" s="1137">
        <f t="shared" si="103"/>
        <v>0</v>
      </c>
      <c r="AC221" s="1335"/>
      <c r="AD221" s="1333"/>
    </row>
    <row r="222" spans="1:30" s="293" customFormat="1" ht="14.25" hidden="1" customHeight="1">
      <c r="A222" s="1555"/>
      <c r="B222" s="1537"/>
      <c r="C222" s="1538"/>
      <c r="D222" s="1539"/>
      <c r="E222" s="1540"/>
      <c r="F222" s="1539"/>
      <c r="G222" s="1539"/>
      <c r="H222" s="1539"/>
      <c r="I222" s="1348">
        <f>SUM(L222:N222)</f>
        <v>0</v>
      </c>
      <c r="J222" s="1348">
        <f>SUM(I222/1.25)</f>
        <v>0</v>
      </c>
      <c r="K222" s="1347">
        <f>SUM(J222)*0.25</f>
        <v>0</v>
      </c>
      <c r="L222" s="1137"/>
      <c r="M222" s="1137"/>
      <c r="N222" s="1347"/>
      <c r="O222" s="1349">
        <f>SUM(P222:R222)</f>
        <v>0</v>
      </c>
      <c r="P222" s="1252"/>
      <c r="Q222" s="1252"/>
      <c r="R222" s="1252"/>
      <c r="S222" s="1350">
        <f t="shared" si="102"/>
        <v>0</v>
      </c>
      <c r="T222" s="451">
        <f t="shared" si="99"/>
        <v>0</v>
      </c>
      <c r="U222" s="660">
        <f t="shared" si="100"/>
        <v>0</v>
      </c>
      <c r="V222" s="451">
        <f t="shared" si="105"/>
        <v>0</v>
      </c>
      <c r="W222" s="451">
        <f t="shared" si="105"/>
        <v>0</v>
      </c>
      <c r="X222" s="660">
        <f t="shared" si="105"/>
        <v>0</v>
      </c>
      <c r="Y222" s="1352"/>
      <c r="Z222" s="1137"/>
      <c r="AA222" s="1347"/>
      <c r="AB222" s="1137">
        <f t="shared" si="103"/>
        <v>0</v>
      </c>
      <c r="AC222" s="1137"/>
      <c r="AD222" s="1347"/>
    </row>
    <row r="223" spans="1:30" s="293" customFormat="1" ht="14.25" hidden="1" customHeight="1">
      <c r="A223" s="1555"/>
      <c r="B223" s="1537"/>
      <c r="C223" s="1538"/>
      <c r="D223" s="1539"/>
      <c r="E223" s="1540"/>
      <c r="F223" s="1539"/>
      <c r="G223" s="1539"/>
      <c r="H223" s="1539"/>
      <c r="I223" s="1348"/>
      <c r="J223" s="1348"/>
      <c r="K223" s="1347"/>
      <c r="L223" s="1137"/>
      <c r="M223" s="1137"/>
      <c r="N223" s="1347"/>
      <c r="O223" s="1372"/>
      <c r="P223" s="451"/>
      <c r="Q223" s="451"/>
      <c r="R223" s="451"/>
      <c r="S223" s="1350">
        <f t="shared" si="102"/>
        <v>0</v>
      </c>
      <c r="T223" s="451">
        <f t="shared" si="99"/>
        <v>0</v>
      </c>
      <c r="U223" s="660">
        <f t="shared" si="100"/>
        <v>0</v>
      </c>
      <c r="V223" s="451"/>
      <c r="W223" s="451"/>
      <c r="X223" s="660"/>
      <c r="Y223" s="1352"/>
      <c r="Z223" s="1137"/>
      <c r="AA223" s="1347"/>
      <c r="AB223" s="1137">
        <f t="shared" si="103"/>
        <v>0</v>
      </c>
      <c r="AC223" s="1137"/>
      <c r="AD223" s="1347"/>
    </row>
    <row r="224" spans="1:30" s="293" customFormat="1" ht="14.25" hidden="1" customHeight="1">
      <c r="A224" s="1555" t="s">
        <v>197</v>
      </c>
      <c r="B224" s="1565"/>
      <c r="C224" s="1566"/>
      <c r="D224" s="1567"/>
      <c r="E224" s="1568"/>
      <c r="F224" s="1567"/>
      <c r="G224" s="1567"/>
      <c r="H224" s="1567"/>
      <c r="I224" s="1334">
        <f>SUM(I225:I229)</f>
        <v>0</v>
      </c>
      <c r="J224" s="1334">
        <f>SUM(J225:J230)</f>
        <v>0</v>
      </c>
      <c r="K224" s="1333">
        <f>SUM(K225:K230)</f>
        <v>0</v>
      </c>
      <c r="L224" s="1335">
        <f t="shared" ref="L224:R224" si="106">SUM(L225:L229)</f>
        <v>0</v>
      </c>
      <c r="M224" s="1335">
        <f t="shared" si="106"/>
        <v>0</v>
      </c>
      <c r="N224" s="1333">
        <f t="shared" si="106"/>
        <v>0</v>
      </c>
      <c r="O224" s="1336">
        <f t="shared" si="106"/>
        <v>0</v>
      </c>
      <c r="P224" s="1337">
        <f t="shared" si="106"/>
        <v>0</v>
      </c>
      <c r="Q224" s="1337">
        <f t="shared" si="106"/>
        <v>0</v>
      </c>
      <c r="R224" s="1337">
        <f t="shared" si="106"/>
        <v>0</v>
      </c>
      <c r="S224" s="1350">
        <f t="shared" si="102"/>
        <v>0</v>
      </c>
      <c r="T224" s="451">
        <f t="shared" si="99"/>
        <v>0</v>
      </c>
      <c r="U224" s="660">
        <f t="shared" si="100"/>
        <v>0</v>
      </c>
      <c r="V224" s="1341">
        <f>SUM(V225:V229)</f>
        <v>0</v>
      </c>
      <c r="W224" s="1341">
        <f>SUM(W225:W229)</f>
        <v>0</v>
      </c>
      <c r="X224" s="1340">
        <f>SUM(X225:X229)</f>
        <v>0</v>
      </c>
      <c r="Y224" s="1352"/>
      <c r="Z224" s="1137"/>
      <c r="AA224" s="1347"/>
      <c r="AB224" s="1137">
        <f t="shared" si="103"/>
        <v>0</v>
      </c>
      <c r="AC224" s="1137"/>
      <c r="AD224" s="1347"/>
    </row>
    <row r="225" spans="1:30" s="293" customFormat="1" ht="12.75" hidden="1" customHeight="1">
      <c r="A225" s="1555"/>
      <c r="B225" s="1537"/>
      <c r="C225" s="1538"/>
      <c r="D225" s="1539"/>
      <c r="E225" s="1540"/>
      <c r="F225" s="1539"/>
      <c r="G225" s="1539"/>
      <c r="H225" s="1539"/>
      <c r="I225" s="1348">
        <f>SUM(L225:N225)</f>
        <v>0</v>
      </c>
      <c r="J225" s="1348">
        <f>SUM(I225)/1.27</f>
        <v>0</v>
      </c>
      <c r="K225" s="1347">
        <f>SUM(J225)*0.27</f>
        <v>0</v>
      </c>
      <c r="L225" s="1137">
        <v>0</v>
      </c>
      <c r="M225" s="1137">
        <v>0</v>
      </c>
      <c r="N225" s="1347">
        <v>0</v>
      </c>
      <c r="O225" s="1349">
        <f>SUM(P225:R225)</f>
        <v>0</v>
      </c>
      <c r="P225" s="1252"/>
      <c r="Q225" s="1252"/>
      <c r="R225" s="1252"/>
      <c r="S225" s="1350">
        <f t="shared" si="102"/>
        <v>0</v>
      </c>
      <c r="T225" s="451">
        <f t="shared" si="99"/>
        <v>0</v>
      </c>
      <c r="U225" s="660">
        <f t="shared" si="100"/>
        <v>0</v>
      </c>
      <c r="V225" s="451">
        <f t="shared" ref="V225:X229" si="107">SUM(L225+P225)</f>
        <v>0</v>
      </c>
      <c r="W225" s="451">
        <f t="shared" si="107"/>
        <v>0</v>
      </c>
      <c r="X225" s="660">
        <f t="shared" si="107"/>
        <v>0</v>
      </c>
      <c r="Y225" s="1352"/>
      <c r="Z225" s="1137"/>
      <c r="AA225" s="1347"/>
      <c r="AB225" s="1137">
        <f t="shared" si="103"/>
        <v>0</v>
      </c>
      <c r="AC225" s="1137"/>
      <c r="AD225" s="1347"/>
    </row>
    <row r="226" spans="1:30" s="293" customFormat="1" ht="12.75" hidden="1" customHeight="1">
      <c r="A226" s="1555"/>
      <c r="B226" s="1537"/>
      <c r="C226" s="1538"/>
      <c r="D226" s="1539"/>
      <c r="E226" s="1540"/>
      <c r="F226" s="1539"/>
      <c r="G226" s="1539"/>
      <c r="H226" s="1539"/>
      <c r="I226" s="1348">
        <f>SUM(L226:N226)</f>
        <v>0</v>
      </c>
      <c r="J226" s="1348">
        <f>SUM(I226)/1.27</f>
        <v>0</v>
      </c>
      <c r="K226" s="1347">
        <f>SUM(J226)*0.27</f>
        <v>0</v>
      </c>
      <c r="L226" s="1137">
        <v>0</v>
      </c>
      <c r="M226" s="1137">
        <v>0</v>
      </c>
      <c r="N226" s="1347">
        <v>0</v>
      </c>
      <c r="O226" s="1349">
        <f>SUM(P226:R226)</f>
        <v>0</v>
      </c>
      <c r="P226" s="1252"/>
      <c r="Q226" s="1252"/>
      <c r="R226" s="1252"/>
      <c r="S226" s="1350">
        <f t="shared" si="102"/>
        <v>0</v>
      </c>
      <c r="T226" s="451">
        <f t="shared" si="99"/>
        <v>0</v>
      </c>
      <c r="U226" s="660">
        <f t="shared" si="100"/>
        <v>0</v>
      </c>
      <c r="V226" s="451">
        <f t="shared" si="107"/>
        <v>0</v>
      </c>
      <c r="W226" s="451">
        <f t="shared" si="107"/>
        <v>0</v>
      </c>
      <c r="X226" s="660">
        <f t="shared" si="107"/>
        <v>0</v>
      </c>
      <c r="Y226" s="1352"/>
      <c r="Z226" s="1137"/>
      <c r="AA226" s="1347"/>
      <c r="AB226" s="1137">
        <f t="shared" si="103"/>
        <v>0</v>
      </c>
      <c r="AC226" s="1137"/>
      <c r="AD226" s="1347"/>
    </row>
    <row r="227" spans="1:30" s="293" customFormat="1" ht="12.75" hidden="1" customHeight="1">
      <c r="A227" s="1555"/>
      <c r="B227" s="1537"/>
      <c r="C227" s="1538"/>
      <c r="D227" s="1539"/>
      <c r="E227" s="1540"/>
      <c r="F227" s="1539"/>
      <c r="G227" s="1539"/>
      <c r="H227" s="1539"/>
      <c r="I227" s="1348">
        <f>SUM(L227:N227)</f>
        <v>0</v>
      </c>
      <c r="J227" s="1348">
        <f>SUM(I227)/1.27</f>
        <v>0</v>
      </c>
      <c r="K227" s="1347">
        <f>SUM(J227)*0.27</f>
        <v>0</v>
      </c>
      <c r="L227" s="1137">
        <v>0</v>
      </c>
      <c r="M227" s="1137">
        <v>0</v>
      </c>
      <c r="N227" s="1347">
        <v>0</v>
      </c>
      <c r="O227" s="1349">
        <f>SUM(P227:R227)</f>
        <v>0</v>
      </c>
      <c r="P227" s="1252"/>
      <c r="Q227" s="1252"/>
      <c r="R227" s="1252"/>
      <c r="S227" s="1350">
        <f t="shared" si="102"/>
        <v>0</v>
      </c>
      <c r="T227" s="451">
        <f t="shared" si="99"/>
        <v>0</v>
      </c>
      <c r="U227" s="660">
        <f t="shared" si="100"/>
        <v>0</v>
      </c>
      <c r="V227" s="451">
        <f t="shared" si="107"/>
        <v>0</v>
      </c>
      <c r="W227" s="451">
        <f t="shared" si="107"/>
        <v>0</v>
      </c>
      <c r="X227" s="660">
        <f t="shared" si="107"/>
        <v>0</v>
      </c>
      <c r="Y227" s="1352"/>
      <c r="Z227" s="1137"/>
      <c r="AA227" s="1347"/>
      <c r="AB227" s="1137">
        <f t="shared" si="103"/>
        <v>0</v>
      </c>
      <c r="AC227" s="1137"/>
      <c r="AD227" s="1347"/>
    </row>
    <row r="228" spans="1:30" s="293" customFormat="1" ht="12.75" hidden="1" customHeight="1">
      <c r="A228" s="1555"/>
      <c r="B228" s="1537"/>
      <c r="C228" s="1538"/>
      <c r="D228" s="1539"/>
      <c r="E228" s="1540"/>
      <c r="F228" s="1539"/>
      <c r="G228" s="1539"/>
      <c r="H228" s="1539"/>
      <c r="I228" s="1348">
        <f>SUM(L228:N228)</f>
        <v>0</v>
      </c>
      <c r="J228" s="1348">
        <f>SUM(I228)/1.27</f>
        <v>0</v>
      </c>
      <c r="K228" s="1347">
        <f>SUM(J228)*0.27</f>
        <v>0</v>
      </c>
      <c r="L228" s="1137">
        <v>0</v>
      </c>
      <c r="M228" s="1137">
        <v>0</v>
      </c>
      <c r="N228" s="1347">
        <v>0</v>
      </c>
      <c r="O228" s="1349">
        <f>SUM(P228:R228)</f>
        <v>0</v>
      </c>
      <c r="P228" s="1252"/>
      <c r="Q228" s="1252"/>
      <c r="R228" s="1252"/>
      <c r="S228" s="1350">
        <f t="shared" si="102"/>
        <v>0</v>
      </c>
      <c r="T228" s="451">
        <f t="shared" si="99"/>
        <v>0</v>
      </c>
      <c r="U228" s="660">
        <f t="shared" si="100"/>
        <v>0</v>
      </c>
      <c r="V228" s="451">
        <f t="shared" si="107"/>
        <v>0</v>
      </c>
      <c r="W228" s="451">
        <f t="shared" si="107"/>
        <v>0</v>
      </c>
      <c r="X228" s="660">
        <f t="shared" si="107"/>
        <v>0</v>
      </c>
      <c r="Y228" s="1342"/>
      <c r="Z228" s="1335"/>
      <c r="AA228" s="1333"/>
      <c r="AB228" s="1137">
        <f t="shared" si="103"/>
        <v>0</v>
      </c>
      <c r="AC228" s="1335"/>
      <c r="AD228" s="1333"/>
    </row>
    <row r="229" spans="1:30" s="293" customFormat="1" ht="14.25" hidden="1" customHeight="1">
      <c r="A229" s="1555"/>
      <c r="B229" s="1537"/>
      <c r="C229" s="1538"/>
      <c r="D229" s="1539"/>
      <c r="E229" s="1540"/>
      <c r="F229" s="1539"/>
      <c r="G229" s="1539"/>
      <c r="H229" s="1539"/>
      <c r="I229" s="1348">
        <f>SUM(L229:N229)</f>
        <v>0</v>
      </c>
      <c r="J229" s="1348">
        <f>SUM(I229)/1.27</f>
        <v>0</v>
      </c>
      <c r="K229" s="1347">
        <f>SUM(J229)*0.27</f>
        <v>0</v>
      </c>
      <c r="L229" s="1137">
        <v>0</v>
      </c>
      <c r="M229" s="1137">
        <v>0</v>
      </c>
      <c r="N229" s="1347">
        <v>0</v>
      </c>
      <c r="O229" s="1349">
        <f>SUM(P229:R229)</f>
        <v>0</v>
      </c>
      <c r="P229" s="1252"/>
      <c r="Q229" s="1252"/>
      <c r="R229" s="1252"/>
      <c r="S229" s="1350">
        <f t="shared" si="102"/>
        <v>0</v>
      </c>
      <c r="T229" s="451">
        <f t="shared" si="99"/>
        <v>0</v>
      </c>
      <c r="U229" s="660">
        <f t="shared" si="100"/>
        <v>0</v>
      </c>
      <c r="V229" s="451">
        <f t="shared" si="107"/>
        <v>0</v>
      </c>
      <c r="W229" s="451">
        <f t="shared" si="107"/>
        <v>0</v>
      </c>
      <c r="X229" s="660">
        <f t="shared" si="107"/>
        <v>0</v>
      </c>
      <c r="Y229" s="1352"/>
      <c r="Z229" s="1137"/>
      <c r="AA229" s="1347"/>
      <c r="AB229" s="1137">
        <f t="shared" si="103"/>
        <v>0</v>
      </c>
      <c r="AC229" s="1137"/>
      <c r="AD229" s="1347"/>
    </row>
    <row r="230" spans="1:30" s="293" customFormat="1" ht="12.75" hidden="1" customHeight="1">
      <c r="A230" s="1555"/>
      <c r="B230" s="1537"/>
      <c r="C230" s="1538"/>
      <c r="D230" s="1539"/>
      <c r="E230" s="1540"/>
      <c r="F230" s="1539"/>
      <c r="G230" s="1539"/>
      <c r="H230" s="1539"/>
      <c r="I230" s="1348"/>
      <c r="J230" s="1348"/>
      <c r="K230" s="1347"/>
      <c r="L230" s="1137"/>
      <c r="M230" s="1137"/>
      <c r="N230" s="1347"/>
      <c r="O230" s="1372"/>
      <c r="P230" s="451"/>
      <c r="Q230" s="451"/>
      <c r="R230" s="451"/>
      <c r="S230" s="1350">
        <f t="shared" si="102"/>
        <v>0</v>
      </c>
      <c r="T230" s="451">
        <f t="shared" si="99"/>
        <v>0</v>
      </c>
      <c r="U230" s="660">
        <f t="shared" si="100"/>
        <v>0</v>
      </c>
      <c r="V230" s="451"/>
      <c r="W230" s="451"/>
      <c r="X230" s="660"/>
      <c r="Y230" s="1352"/>
      <c r="Z230" s="1137"/>
      <c r="AA230" s="1347"/>
      <c r="AB230" s="1137">
        <f t="shared" si="103"/>
        <v>0</v>
      </c>
      <c r="AC230" s="1137"/>
      <c r="AD230" s="1347"/>
    </row>
    <row r="231" spans="1:30" s="293" customFormat="1" ht="14.25" hidden="1" customHeight="1">
      <c r="A231" s="1555" t="s">
        <v>170</v>
      </c>
      <c r="B231" s="1565"/>
      <c r="C231" s="1566"/>
      <c r="D231" s="1567"/>
      <c r="E231" s="1568"/>
      <c r="F231" s="1567"/>
      <c r="G231" s="1567"/>
      <c r="H231" s="1567"/>
      <c r="I231" s="1334">
        <f t="shared" ref="I231:R231" si="108">SUM(I232:I236)</f>
        <v>0</v>
      </c>
      <c r="J231" s="1334">
        <f t="shared" si="108"/>
        <v>0</v>
      </c>
      <c r="K231" s="1333">
        <f t="shared" si="108"/>
        <v>0</v>
      </c>
      <c r="L231" s="1335">
        <f t="shared" si="108"/>
        <v>0</v>
      </c>
      <c r="M231" s="1335">
        <f t="shared" si="108"/>
        <v>0</v>
      </c>
      <c r="N231" s="1333">
        <f t="shared" si="108"/>
        <v>0</v>
      </c>
      <c r="O231" s="1336">
        <f t="shared" si="108"/>
        <v>0</v>
      </c>
      <c r="P231" s="1337">
        <f t="shared" si="108"/>
        <v>0</v>
      </c>
      <c r="Q231" s="1337">
        <f t="shared" si="108"/>
        <v>0</v>
      </c>
      <c r="R231" s="1337">
        <f t="shared" si="108"/>
        <v>0</v>
      </c>
      <c r="S231" s="1350">
        <f t="shared" si="102"/>
        <v>0</v>
      </c>
      <c r="T231" s="451">
        <f t="shared" si="99"/>
        <v>0</v>
      </c>
      <c r="U231" s="660">
        <f t="shared" si="100"/>
        <v>0</v>
      </c>
      <c r="V231" s="1341">
        <f>SUM(V232:V236)</f>
        <v>0</v>
      </c>
      <c r="W231" s="1341">
        <f>SUM(W232:W236)</f>
        <v>0</v>
      </c>
      <c r="X231" s="1340">
        <f>SUM(X232:X236)</f>
        <v>0</v>
      </c>
      <c r="Y231" s="1352"/>
      <c r="Z231" s="1137"/>
      <c r="AA231" s="1347"/>
      <c r="AB231" s="1137">
        <f t="shared" si="103"/>
        <v>0</v>
      </c>
      <c r="AC231" s="1137"/>
      <c r="AD231" s="1347"/>
    </row>
    <row r="232" spans="1:30" s="293" customFormat="1" ht="15" hidden="1" customHeight="1">
      <c r="A232" s="1555"/>
      <c r="B232" s="1537"/>
      <c r="C232" s="1538"/>
      <c r="D232" s="1539"/>
      <c r="E232" s="1540"/>
      <c r="F232" s="1539"/>
      <c r="G232" s="1539"/>
      <c r="H232" s="1539"/>
      <c r="I232" s="1348">
        <f>SUM(L232:N232)</f>
        <v>0</v>
      </c>
      <c r="J232" s="1348">
        <f>SUM(I232)/1.27</f>
        <v>0</v>
      </c>
      <c r="K232" s="1347">
        <f>SUM(J232)*0.27</f>
        <v>0</v>
      </c>
      <c r="L232" s="1137">
        <v>0</v>
      </c>
      <c r="M232" s="1137">
        <v>0</v>
      </c>
      <c r="N232" s="1347">
        <v>0</v>
      </c>
      <c r="O232" s="1349">
        <f>SUM(P232:R232)</f>
        <v>0</v>
      </c>
      <c r="P232" s="1252"/>
      <c r="Q232" s="1252"/>
      <c r="R232" s="1252"/>
      <c r="S232" s="1350">
        <f t="shared" si="102"/>
        <v>0</v>
      </c>
      <c r="T232" s="451">
        <f t="shared" si="99"/>
        <v>0</v>
      </c>
      <c r="U232" s="660">
        <f t="shared" si="100"/>
        <v>0</v>
      </c>
      <c r="V232" s="451">
        <f t="shared" ref="V232:X236" si="109">SUM(L232+P232)</f>
        <v>0</v>
      </c>
      <c r="W232" s="451">
        <f t="shared" si="109"/>
        <v>0</v>
      </c>
      <c r="X232" s="660">
        <f t="shared" si="109"/>
        <v>0</v>
      </c>
      <c r="Y232" s="1352"/>
      <c r="Z232" s="1137"/>
      <c r="AA232" s="1347"/>
      <c r="AB232" s="1137">
        <f t="shared" si="103"/>
        <v>0</v>
      </c>
      <c r="AC232" s="1137"/>
      <c r="AD232" s="1347"/>
    </row>
    <row r="233" spans="1:30" s="293" customFormat="1" ht="14.25" hidden="1" customHeight="1">
      <c r="A233" s="1555"/>
      <c r="B233" s="1537"/>
      <c r="C233" s="1538"/>
      <c r="D233" s="1539"/>
      <c r="E233" s="1540"/>
      <c r="F233" s="1539"/>
      <c r="G233" s="1539"/>
      <c r="H233" s="1539"/>
      <c r="I233" s="1348">
        <f>SUM(L233:N233)</f>
        <v>0</v>
      </c>
      <c r="J233" s="1348">
        <f>SUM(I233)/1.27</f>
        <v>0</v>
      </c>
      <c r="K233" s="1347">
        <f>SUM(J233)*0.27</f>
        <v>0</v>
      </c>
      <c r="L233" s="1137">
        <v>0</v>
      </c>
      <c r="M233" s="1137">
        <v>0</v>
      </c>
      <c r="N233" s="1347">
        <v>0</v>
      </c>
      <c r="O233" s="1349">
        <f>SUM(P233:R233)</f>
        <v>0</v>
      </c>
      <c r="P233" s="1252"/>
      <c r="Q233" s="1252"/>
      <c r="R233" s="1252"/>
      <c r="S233" s="1350">
        <f t="shared" si="102"/>
        <v>0</v>
      </c>
      <c r="T233" s="451">
        <f t="shared" si="99"/>
        <v>0</v>
      </c>
      <c r="U233" s="660">
        <f t="shared" si="100"/>
        <v>0</v>
      </c>
      <c r="V233" s="451">
        <f t="shared" si="109"/>
        <v>0</v>
      </c>
      <c r="W233" s="451">
        <f t="shared" si="109"/>
        <v>0</v>
      </c>
      <c r="X233" s="660">
        <f t="shared" si="109"/>
        <v>0</v>
      </c>
      <c r="Y233" s="1352"/>
      <c r="Z233" s="1137"/>
      <c r="AA233" s="1347"/>
      <c r="AB233" s="1137">
        <f t="shared" si="103"/>
        <v>0</v>
      </c>
      <c r="AC233" s="1137"/>
      <c r="AD233" s="1347"/>
    </row>
    <row r="234" spans="1:30" s="293" customFormat="1" ht="14.25" hidden="1" customHeight="1">
      <c r="A234" s="1555"/>
      <c r="B234" s="1537"/>
      <c r="C234" s="1538"/>
      <c r="D234" s="1539"/>
      <c r="E234" s="1540"/>
      <c r="F234" s="1539"/>
      <c r="G234" s="1539"/>
      <c r="H234" s="1539"/>
      <c r="I234" s="1348">
        <f>SUM(L234:N234)</f>
        <v>0</v>
      </c>
      <c r="J234" s="1348">
        <f>SUM(I234)/1.27</f>
        <v>0</v>
      </c>
      <c r="K234" s="1347">
        <f>SUM(J234)*0.27</f>
        <v>0</v>
      </c>
      <c r="L234" s="1137">
        <v>0</v>
      </c>
      <c r="M234" s="1137">
        <v>0</v>
      </c>
      <c r="N234" s="1347">
        <v>0</v>
      </c>
      <c r="O234" s="1349">
        <f>SUM(P234:R234)</f>
        <v>0</v>
      </c>
      <c r="P234" s="1252"/>
      <c r="Q234" s="1252"/>
      <c r="R234" s="1252"/>
      <c r="S234" s="1350">
        <f t="shared" si="102"/>
        <v>0</v>
      </c>
      <c r="T234" s="451">
        <f t="shared" si="99"/>
        <v>0</v>
      </c>
      <c r="U234" s="660">
        <f t="shared" si="100"/>
        <v>0</v>
      </c>
      <c r="V234" s="451">
        <f t="shared" si="109"/>
        <v>0</v>
      </c>
      <c r="W234" s="451">
        <f t="shared" si="109"/>
        <v>0</v>
      </c>
      <c r="X234" s="660">
        <f t="shared" si="109"/>
        <v>0</v>
      </c>
      <c r="Y234" s="1352"/>
      <c r="Z234" s="1137"/>
      <c r="AA234" s="1347"/>
      <c r="AB234" s="1137">
        <f t="shared" si="103"/>
        <v>0</v>
      </c>
      <c r="AC234" s="1137"/>
      <c r="AD234" s="1347"/>
    </row>
    <row r="235" spans="1:30" s="293" customFormat="1" ht="14.25" hidden="1" customHeight="1">
      <c r="A235" s="1555"/>
      <c r="B235" s="1537"/>
      <c r="C235" s="1538"/>
      <c r="D235" s="1539"/>
      <c r="E235" s="1540"/>
      <c r="F235" s="1539"/>
      <c r="G235" s="1539"/>
      <c r="H235" s="1539"/>
      <c r="I235" s="1348">
        <f>SUM(L235:N235)</f>
        <v>0</v>
      </c>
      <c r="J235" s="1348">
        <f>SUM(I235)/1.27</f>
        <v>0</v>
      </c>
      <c r="K235" s="1347">
        <f>SUM(J235)*0.27</f>
        <v>0</v>
      </c>
      <c r="L235" s="1137">
        <v>0</v>
      </c>
      <c r="M235" s="1137">
        <v>0</v>
      </c>
      <c r="N235" s="1347">
        <v>0</v>
      </c>
      <c r="O235" s="1349">
        <f>SUM(P235:R235)</f>
        <v>0</v>
      </c>
      <c r="P235" s="1252"/>
      <c r="Q235" s="1252"/>
      <c r="R235" s="1252"/>
      <c r="S235" s="1350">
        <f t="shared" ref="S235:S248" si="110">SUM(V235:X235)</f>
        <v>0</v>
      </c>
      <c r="T235" s="451">
        <f t="shared" si="99"/>
        <v>0</v>
      </c>
      <c r="U235" s="660">
        <f t="shared" si="100"/>
        <v>0</v>
      </c>
      <c r="V235" s="451">
        <f t="shared" si="109"/>
        <v>0</v>
      </c>
      <c r="W235" s="451">
        <f t="shared" si="109"/>
        <v>0</v>
      </c>
      <c r="X235" s="660">
        <f t="shared" si="109"/>
        <v>0</v>
      </c>
      <c r="Y235" s="1342"/>
      <c r="Z235" s="1335"/>
      <c r="AA235" s="1333"/>
      <c r="AB235" s="1137">
        <f t="shared" si="103"/>
        <v>0</v>
      </c>
      <c r="AC235" s="1335"/>
      <c r="AD235" s="1333"/>
    </row>
    <row r="236" spans="1:30" s="293" customFormat="1" ht="14.25" hidden="1" customHeight="1">
      <c r="A236" s="1555"/>
      <c r="B236" s="1537"/>
      <c r="C236" s="1538"/>
      <c r="D236" s="1539"/>
      <c r="E236" s="1540"/>
      <c r="F236" s="1539"/>
      <c r="G236" s="1539"/>
      <c r="H236" s="1539"/>
      <c r="I236" s="1348">
        <f>SUM(L236:N236)</f>
        <v>0</v>
      </c>
      <c r="J236" s="1348">
        <f>SUM(I236)/1.27</f>
        <v>0</v>
      </c>
      <c r="K236" s="1347">
        <f>SUM(J236)*0.27</f>
        <v>0</v>
      </c>
      <c r="L236" s="1137">
        <v>0</v>
      </c>
      <c r="M236" s="1137">
        <v>0</v>
      </c>
      <c r="N236" s="1347">
        <v>0</v>
      </c>
      <c r="O236" s="1349">
        <f>SUM(P236:R236)</f>
        <v>0</v>
      </c>
      <c r="P236" s="1252"/>
      <c r="Q236" s="1252"/>
      <c r="R236" s="1252"/>
      <c r="S236" s="1350">
        <f t="shared" si="110"/>
        <v>0</v>
      </c>
      <c r="T236" s="451">
        <f t="shared" si="99"/>
        <v>0</v>
      </c>
      <c r="U236" s="660">
        <f t="shared" si="100"/>
        <v>0</v>
      </c>
      <c r="V236" s="451">
        <f t="shared" si="109"/>
        <v>0</v>
      </c>
      <c r="W236" s="451">
        <f t="shared" si="109"/>
        <v>0</v>
      </c>
      <c r="X236" s="660">
        <f t="shared" si="109"/>
        <v>0</v>
      </c>
      <c r="Y236" s="1352"/>
      <c r="Z236" s="1137"/>
      <c r="AA236" s="1347"/>
      <c r="AB236" s="1137">
        <f t="shared" si="103"/>
        <v>0</v>
      </c>
      <c r="AC236" s="1408"/>
      <c r="AD236" s="1409"/>
    </row>
    <row r="237" spans="1:30" s="293" customFormat="1" ht="14.25" hidden="1" customHeight="1">
      <c r="A237" s="1549"/>
      <c r="B237" s="1537"/>
      <c r="C237" s="1538"/>
      <c r="D237" s="1539"/>
      <c r="E237" s="1540"/>
      <c r="F237" s="1539"/>
      <c r="G237" s="1539"/>
      <c r="H237" s="1539"/>
      <c r="I237" s="1348"/>
      <c r="J237" s="1348"/>
      <c r="K237" s="1347"/>
      <c r="L237" s="1137"/>
      <c r="M237" s="1137"/>
      <c r="N237" s="1347"/>
      <c r="O237" s="1372"/>
      <c r="P237" s="451"/>
      <c r="Q237" s="451"/>
      <c r="R237" s="451"/>
      <c r="S237" s="1350">
        <f t="shared" si="110"/>
        <v>0</v>
      </c>
      <c r="T237" s="451">
        <f t="shared" si="99"/>
        <v>0</v>
      </c>
      <c r="U237" s="660">
        <f t="shared" si="100"/>
        <v>0</v>
      </c>
      <c r="V237" s="451"/>
      <c r="W237" s="451"/>
      <c r="X237" s="660"/>
      <c r="Y237" s="1352"/>
      <c r="Z237" s="1137"/>
      <c r="AA237" s="1347"/>
      <c r="AB237" s="1137">
        <f t="shared" si="103"/>
        <v>0</v>
      </c>
      <c r="AC237" s="1137"/>
      <c r="AD237" s="1347"/>
    </row>
    <row r="238" spans="1:30" s="293" customFormat="1" ht="14.25" hidden="1" customHeight="1">
      <c r="A238" s="1570" t="s">
        <v>176</v>
      </c>
      <c r="B238" s="1565"/>
      <c r="C238" s="1566"/>
      <c r="D238" s="1567"/>
      <c r="E238" s="1568"/>
      <c r="F238" s="1567"/>
      <c r="G238" s="1567"/>
      <c r="H238" s="1567"/>
      <c r="I238" s="1334">
        <f t="shared" ref="I238:R238" si="111">SUM(I239:I240)</f>
        <v>0</v>
      </c>
      <c r="J238" s="1334">
        <f t="shared" si="111"/>
        <v>0</v>
      </c>
      <c r="K238" s="1333">
        <f t="shared" si="111"/>
        <v>0</v>
      </c>
      <c r="L238" s="1335">
        <f t="shared" si="111"/>
        <v>0</v>
      </c>
      <c r="M238" s="1335">
        <f t="shared" si="111"/>
        <v>0</v>
      </c>
      <c r="N238" s="1333">
        <f t="shared" si="111"/>
        <v>0</v>
      </c>
      <c r="O238" s="1336">
        <f t="shared" si="111"/>
        <v>0</v>
      </c>
      <c r="P238" s="1337">
        <f t="shared" si="111"/>
        <v>0</v>
      </c>
      <c r="Q238" s="1337">
        <f t="shared" si="111"/>
        <v>0</v>
      </c>
      <c r="R238" s="1337">
        <f t="shared" si="111"/>
        <v>0</v>
      </c>
      <c r="S238" s="1350">
        <f t="shared" si="110"/>
        <v>0</v>
      </c>
      <c r="T238" s="451">
        <f t="shared" si="99"/>
        <v>0</v>
      </c>
      <c r="U238" s="660">
        <f t="shared" si="100"/>
        <v>0</v>
      </c>
      <c r="V238" s="1341">
        <f>SUM(V239:V240)</f>
        <v>0</v>
      </c>
      <c r="W238" s="1341">
        <f>SUM(W239:W240)</f>
        <v>0</v>
      </c>
      <c r="X238" s="1340">
        <f>SUM(X239:X240)</f>
        <v>0</v>
      </c>
      <c r="Y238" s="1352"/>
      <c r="Z238" s="1137"/>
      <c r="AA238" s="1347"/>
      <c r="AB238" s="1137">
        <f t="shared" si="103"/>
        <v>0</v>
      </c>
      <c r="AC238" s="1137"/>
      <c r="AD238" s="1347"/>
    </row>
    <row r="239" spans="1:30" s="293" customFormat="1" ht="14.25" hidden="1" customHeight="1">
      <c r="A239" s="1549"/>
      <c r="B239" s="1537"/>
      <c r="C239" s="1538"/>
      <c r="D239" s="1539"/>
      <c r="E239" s="1540"/>
      <c r="F239" s="1539"/>
      <c r="G239" s="1539"/>
      <c r="H239" s="1539"/>
      <c r="I239" s="1348">
        <f>SUM(L239:N239)</f>
        <v>0</v>
      </c>
      <c r="J239" s="1348">
        <f>SUM(I239)/1.27</f>
        <v>0</v>
      </c>
      <c r="K239" s="1347">
        <f>SUM(J239)*0.27</f>
        <v>0</v>
      </c>
      <c r="L239" s="1137">
        <v>0</v>
      </c>
      <c r="M239" s="1137">
        <v>0</v>
      </c>
      <c r="N239" s="1347">
        <v>0</v>
      </c>
      <c r="O239" s="1349">
        <f>SUM(P239:R239)</f>
        <v>0</v>
      </c>
      <c r="P239" s="1252"/>
      <c r="Q239" s="1252"/>
      <c r="R239" s="1252"/>
      <c r="S239" s="1350">
        <f t="shared" si="110"/>
        <v>0</v>
      </c>
      <c r="T239" s="451">
        <f t="shared" si="99"/>
        <v>0</v>
      </c>
      <c r="U239" s="660">
        <f t="shared" si="100"/>
        <v>0</v>
      </c>
      <c r="V239" s="451">
        <f t="shared" ref="V239:X240" si="112">SUM(L239+P239)</f>
        <v>0</v>
      </c>
      <c r="W239" s="1406">
        <f t="shared" si="112"/>
        <v>0</v>
      </c>
      <c r="X239" s="1407">
        <f t="shared" si="112"/>
        <v>0</v>
      </c>
      <c r="Y239" s="1342"/>
      <c r="Z239" s="1341"/>
      <c r="AA239" s="1340"/>
      <c r="AB239" s="1137">
        <f t="shared" si="103"/>
        <v>0</v>
      </c>
      <c r="AC239" s="1335"/>
      <c r="AD239" s="1333"/>
    </row>
    <row r="240" spans="1:30" s="293" customFormat="1" ht="14.25" hidden="1" customHeight="1">
      <c r="A240" s="1549"/>
      <c r="B240" s="1537"/>
      <c r="C240" s="1538"/>
      <c r="D240" s="1539"/>
      <c r="E240" s="1540"/>
      <c r="F240" s="1539"/>
      <c r="G240" s="1539"/>
      <c r="H240" s="1539"/>
      <c r="I240" s="1348">
        <f>SUM(L240:N240)</f>
        <v>0</v>
      </c>
      <c r="J240" s="1348">
        <f>SUM(I240)/1.27</f>
        <v>0</v>
      </c>
      <c r="K240" s="1347">
        <f>SUM(J240)*0.27</f>
        <v>0</v>
      </c>
      <c r="L240" s="1137">
        <v>0</v>
      </c>
      <c r="M240" s="1137">
        <v>0</v>
      </c>
      <c r="N240" s="1347">
        <v>0</v>
      </c>
      <c r="O240" s="1349">
        <f>SUM(P240:R240)</f>
        <v>0</v>
      </c>
      <c r="P240" s="1252"/>
      <c r="Q240" s="1252"/>
      <c r="R240" s="1252"/>
      <c r="S240" s="1350">
        <f t="shared" si="110"/>
        <v>0</v>
      </c>
      <c r="T240" s="451">
        <f t="shared" si="99"/>
        <v>0</v>
      </c>
      <c r="U240" s="660">
        <f t="shared" si="100"/>
        <v>0</v>
      </c>
      <c r="V240" s="451">
        <f t="shared" si="112"/>
        <v>0</v>
      </c>
      <c r="W240" s="451">
        <f t="shared" si="112"/>
        <v>0</v>
      </c>
      <c r="X240" s="660">
        <f t="shared" si="112"/>
        <v>0</v>
      </c>
      <c r="Y240" s="1352"/>
      <c r="Z240" s="1137"/>
      <c r="AA240" s="1347"/>
      <c r="AB240" s="1137">
        <f t="shared" si="103"/>
        <v>0</v>
      </c>
      <c r="AC240" s="1137"/>
      <c r="AD240" s="1347"/>
    </row>
    <row r="241" spans="1:30" s="293" customFormat="1" ht="14.25" hidden="1" customHeight="1">
      <c r="A241" s="1549"/>
      <c r="B241" s="1537"/>
      <c r="C241" s="1538"/>
      <c r="D241" s="1539"/>
      <c r="E241" s="1540"/>
      <c r="F241" s="1539"/>
      <c r="G241" s="1539"/>
      <c r="H241" s="1539"/>
      <c r="I241" s="1348"/>
      <c r="J241" s="1348"/>
      <c r="K241" s="1347"/>
      <c r="L241" s="1137"/>
      <c r="M241" s="1137"/>
      <c r="N241" s="1347"/>
      <c r="O241" s="1372"/>
      <c r="P241" s="451"/>
      <c r="Q241" s="451"/>
      <c r="R241" s="451"/>
      <c r="S241" s="1350">
        <f t="shared" si="110"/>
        <v>0</v>
      </c>
      <c r="T241" s="451">
        <f t="shared" si="99"/>
        <v>0</v>
      </c>
      <c r="U241" s="660">
        <f t="shared" si="100"/>
        <v>0</v>
      </c>
      <c r="V241" s="451"/>
      <c r="W241" s="451"/>
      <c r="X241" s="660"/>
      <c r="Y241" s="1352"/>
      <c r="Z241" s="1137"/>
      <c r="AA241" s="1347"/>
      <c r="AB241" s="1137">
        <f t="shared" si="103"/>
        <v>0</v>
      </c>
      <c r="AC241" s="1137"/>
      <c r="AD241" s="1347"/>
    </row>
    <row r="242" spans="1:30" s="293" customFormat="1" ht="14.25" hidden="1" customHeight="1">
      <c r="A242" s="1570" t="s">
        <v>173</v>
      </c>
      <c r="B242" s="1565"/>
      <c r="C242" s="1566"/>
      <c r="D242" s="1567"/>
      <c r="E242" s="1568"/>
      <c r="F242" s="1567"/>
      <c r="G242" s="1567"/>
      <c r="H242" s="1567"/>
      <c r="I242" s="1334">
        <f t="shared" ref="I242:R242" si="113">SUM(I243:I245)</f>
        <v>0</v>
      </c>
      <c r="J242" s="1334">
        <f t="shared" si="113"/>
        <v>0</v>
      </c>
      <c r="K242" s="1333">
        <f t="shared" si="113"/>
        <v>0</v>
      </c>
      <c r="L242" s="1335">
        <f t="shared" si="113"/>
        <v>0</v>
      </c>
      <c r="M242" s="1335">
        <f t="shared" si="113"/>
        <v>0</v>
      </c>
      <c r="N242" s="1333">
        <f t="shared" si="113"/>
        <v>0</v>
      </c>
      <c r="O242" s="1336">
        <f t="shared" si="113"/>
        <v>0</v>
      </c>
      <c r="P242" s="1337">
        <f t="shared" si="113"/>
        <v>0</v>
      </c>
      <c r="Q242" s="1337">
        <f t="shared" si="113"/>
        <v>0</v>
      </c>
      <c r="R242" s="1337">
        <f t="shared" si="113"/>
        <v>0</v>
      </c>
      <c r="S242" s="1350">
        <f t="shared" si="110"/>
        <v>0</v>
      </c>
      <c r="T242" s="451">
        <f t="shared" si="99"/>
        <v>0</v>
      </c>
      <c r="U242" s="660">
        <f t="shared" si="100"/>
        <v>0</v>
      </c>
      <c r="V242" s="1341">
        <f>SUM(V243:V245)</f>
        <v>0</v>
      </c>
      <c r="W242" s="1341">
        <f>SUM(W243:W245)</f>
        <v>0</v>
      </c>
      <c r="X242" s="1340">
        <f>SUM(X243:X245)</f>
        <v>0</v>
      </c>
      <c r="Y242" s="1352"/>
      <c r="Z242" s="1137"/>
      <c r="AA242" s="1347"/>
      <c r="AB242" s="1137">
        <f t="shared" si="103"/>
        <v>0</v>
      </c>
      <c r="AC242" s="1137"/>
      <c r="AD242" s="1347"/>
    </row>
    <row r="243" spans="1:30" s="293" customFormat="1" ht="14.25" hidden="1" customHeight="1">
      <c r="A243" s="1571"/>
      <c r="B243" s="1537"/>
      <c r="C243" s="1538"/>
      <c r="D243" s="1539"/>
      <c r="E243" s="1540"/>
      <c r="F243" s="1539"/>
      <c r="G243" s="1539"/>
      <c r="H243" s="1539"/>
      <c r="I243" s="1348">
        <f>SUM(L243:N243)</f>
        <v>0</v>
      </c>
      <c r="J243" s="1348">
        <f>SUM(I243)/1.27</f>
        <v>0</v>
      </c>
      <c r="K243" s="1347">
        <f>SUM(J243)*0.27</f>
        <v>0</v>
      </c>
      <c r="L243" s="1137">
        <v>0</v>
      </c>
      <c r="M243" s="1137">
        <v>0</v>
      </c>
      <c r="N243" s="1347">
        <v>0</v>
      </c>
      <c r="O243" s="1349">
        <f>SUM(P243:R243)</f>
        <v>0</v>
      </c>
      <c r="P243" s="1413"/>
      <c r="Q243" s="1413"/>
      <c r="R243" s="1413"/>
      <c r="S243" s="1350">
        <f t="shared" si="110"/>
        <v>0</v>
      </c>
      <c r="T243" s="451">
        <f t="shared" si="99"/>
        <v>0</v>
      </c>
      <c r="U243" s="660">
        <f t="shared" si="100"/>
        <v>0</v>
      </c>
      <c r="V243" s="451">
        <f t="shared" ref="V243:X245" si="114">SUM(L243+P243)</f>
        <v>0</v>
      </c>
      <c r="W243" s="451">
        <f t="shared" si="114"/>
        <v>0</v>
      </c>
      <c r="X243" s="660">
        <f t="shared" si="114"/>
        <v>0</v>
      </c>
      <c r="Y243" s="1352">
        <v>383448</v>
      </c>
      <c r="Z243" s="1137">
        <v>301927</v>
      </c>
      <c r="AA243" s="1347">
        <v>81521</v>
      </c>
      <c r="AB243" s="1137">
        <f t="shared" si="103"/>
        <v>383448</v>
      </c>
      <c r="AC243" s="1137"/>
      <c r="AD243" s="1347"/>
    </row>
    <row r="244" spans="1:30" s="293" customFormat="1" ht="14.25" hidden="1" customHeight="1">
      <c r="A244" s="1571"/>
      <c r="B244" s="1537"/>
      <c r="C244" s="1538"/>
      <c r="D244" s="1539"/>
      <c r="E244" s="1540"/>
      <c r="F244" s="1539"/>
      <c r="G244" s="1539"/>
      <c r="H244" s="1539"/>
      <c r="I244" s="1348">
        <f>SUM(L244:N244)</f>
        <v>0</v>
      </c>
      <c r="J244" s="1348">
        <f>SUM(I244)/1.27</f>
        <v>0</v>
      </c>
      <c r="K244" s="1347">
        <f>SUM(J244)*0.27</f>
        <v>0</v>
      </c>
      <c r="L244" s="1137">
        <v>0</v>
      </c>
      <c r="M244" s="1137">
        <v>0</v>
      </c>
      <c r="N244" s="1347">
        <v>0</v>
      </c>
      <c r="O244" s="1349">
        <f>SUM(P244:R244)</f>
        <v>0</v>
      </c>
      <c r="P244" s="1413"/>
      <c r="Q244" s="1413"/>
      <c r="R244" s="1413"/>
      <c r="S244" s="1350">
        <f t="shared" si="110"/>
        <v>0</v>
      </c>
      <c r="T244" s="451">
        <f t="shared" si="99"/>
        <v>0</v>
      </c>
      <c r="U244" s="660">
        <f t="shared" si="100"/>
        <v>0</v>
      </c>
      <c r="V244" s="451">
        <f t="shared" si="114"/>
        <v>0</v>
      </c>
      <c r="W244" s="451">
        <f t="shared" si="114"/>
        <v>0</v>
      </c>
      <c r="X244" s="660">
        <f t="shared" si="114"/>
        <v>0</v>
      </c>
      <c r="Y244" s="1352">
        <v>502412</v>
      </c>
      <c r="Z244" s="1137">
        <v>395600</v>
      </c>
      <c r="AA244" s="1347">
        <v>106812</v>
      </c>
      <c r="AB244" s="1137">
        <f t="shared" si="103"/>
        <v>502412</v>
      </c>
      <c r="AC244" s="1137"/>
      <c r="AD244" s="1347"/>
    </row>
    <row r="245" spans="1:30" s="293" customFormat="1" ht="14.25" hidden="1" customHeight="1">
      <c r="A245" s="1555"/>
      <c r="B245" s="1537"/>
      <c r="C245" s="1538"/>
      <c r="D245" s="1539"/>
      <c r="E245" s="1540"/>
      <c r="F245" s="1539"/>
      <c r="G245" s="1539"/>
      <c r="H245" s="1539"/>
      <c r="I245" s="1348">
        <f>SUM(L245:N245)</f>
        <v>0</v>
      </c>
      <c r="J245" s="1348">
        <f>SUM(I245)/1.27</f>
        <v>0</v>
      </c>
      <c r="K245" s="1347">
        <f>SUM(J245)*0.27</f>
        <v>0</v>
      </c>
      <c r="L245" s="1137">
        <v>0</v>
      </c>
      <c r="M245" s="1137">
        <v>0</v>
      </c>
      <c r="N245" s="1347">
        <v>0</v>
      </c>
      <c r="O245" s="1349">
        <f>SUM(P245:R245)</f>
        <v>0</v>
      </c>
      <c r="P245" s="1252"/>
      <c r="Q245" s="1252"/>
      <c r="R245" s="1252"/>
      <c r="S245" s="1350">
        <f t="shared" si="110"/>
        <v>0</v>
      </c>
      <c r="T245" s="451">
        <f t="shared" si="99"/>
        <v>0</v>
      </c>
      <c r="U245" s="660">
        <f t="shared" si="100"/>
        <v>0</v>
      </c>
      <c r="V245" s="451">
        <f t="shared" si="114"/>
        <v>0</v>
      </c>
      <c r="W245" s="451">
        <f t="shared" si="114"/>
        <v>0</v>
      </c>
      <c r="X245" s="660">
        <f t="shared" si="114"/>
        <v>0</v>
      </c>
      <c r="Y245" s="1352">
        <v>358460</v>
      </c>
      <c r="Z245" s="1137">
        <v>282252</v>
      </c>
      <c r="AA245" s="1347">
        <v>76208</v>
      </c>
      <c r="AB245" s="1137">
        <f>SUM(Z245:AA245)</f>
        <v>358460</v>
      </c>
      <c r="AC245" s="1137"/>
      <c r="AD245" s="1347"/>
    </row>
    <row r="246" spans="1:30" s="293" customFormat="1" ht="14.25" customHeight="1">
      <c r="A246" s="1555"/>
      <c r="B246" s="1542" t="s">
        <v>1217</v>
      </c>
      <c r="C246" s="1538"/>
      <c r="D246" s="1539"/>
      <c r="E246" s="1540"/>
      <c r="F246" s="1539"/>
      <c r="G246" s="1539"/>
      <c r="H246" s="1539"/>
      <c r="I246" s="1348"/>
      <c r="J246" s="1348"/>
      <c r="K246" s="1347"/>
      <c r="L246" s="1137"/>
      <c r="M246" s="1137"/>
      <c r="N246" s="1347"/>
      <c r="O246" s="1349"/>
      <c r="P246" s="1252"/>
      <c r="Q246" s="1252"/>
      <c r="R246" s="1252"/>
      <c r="S246" s="1350">
        <f t="shared" si="110"/>
        <v>383448</v>
      </c>
      <c r="T246" s="451">
        <f>SUM(S246)/1.27-1</f>
        <v>301927</v>
      </c>
      <c r="U246" s="660">
        <f>SUM(T246)*0.27+1</f>
        <v>81521</v>
      </c>
      <c r="V246" s="451">
        <v>383448</v>
      </c>
      <c r="W246" s="451"/>
      <c r="X246" s="660"/>
      <c r="Y246" s="1352"/>
      <c r="Z246" s="1137"/>
      <c r="AA246" s="1347"/>
      <c r="AB246" s="1137"/>
      <c r="AC246" s="1137"/>
      <c r="AD246" s="1347"/>
    </row>
    <row r="247" spans="1:30" s="293" customFormat="1" ht="14.25" customHeight="1">
      <c r="A247" s="1555"/>
      <c r="B247" s="1542" t="s">
        <v>1218</v>
      </c>
      <c r="C247" s="1538"/>
      <c r="D247" s="1539"/>
      <c r="E247" s="1540"/>
      <c r="F247" s="1539"/>
      <c r="G247" s="1539"/>
      <c r="H247" s="1539"/>
      <c r="I247" s="1348"/>
      <c r="J247" s="1348"/>
      <c r="K247" s="1347"/>
      <c r="L247" s="1137"/>
      <c r="M247" s="1137"/>
      <c r="N247" s="1347"/>
      <c r="O247" s="1349"/>
      <c r="P247" s="1252"/>
      <c r="Q247" s="1252"/>
      <c r="R247" s="1252"/>
      <c r="S247" s="1350">
        <f t="shared" si="110"/>
        <v>708501</v>
      </c>
      <c r="T247" s="451">
        <f>SUM(S247)/1.27</f>
        <v>557875</v>
      </c>
      <c r="U247" s="660">
        <f>SUM(T247)*0.27</f>
        <v>150626</v>
      </c>
      <c r="V247" s="451">
        <v>708501</v>
      </c>
      <c r="W247" s="451"/>
      <c r="X247" s="660"/>
      <c r="Y247" s="1352"/>
      <c r="Z247" s="1137"/>
      <c r="AA247" s="1347"/>
      <c r="AB247" s="1137"/>
      <c r="AC247" s="1137"/>
      <c r="AD247" s="1347"/>
    </row>
    <row r="248" spans="1:30" s="293" customFormat="1" ht="13.5" customHeight="1">
      <c r="A248" s="1555"/>
      <c r="B248" s="1542" t="s">
        <v>1219</v>
      </c>
      <c r="C248" s="1538"/>
      <c r="D248" s="1539"/>
      <c r="E248" s="1540"/>
      <c r="F248" s="1539"/>
      <c r="G248" s="1539"/>
      <c r="H248" s="1539"/>
      <c r="I248" s="1348"/>
      <c r="J248" s="1348"/>
      <c r="K248" s="1347"/>
      <c r="L248" s="1137"/>
      <c r="M248" s="1137"/>
      <c r="N248" s="1347"/>
      <c r="O248" s="1372"/>
      <c r="P248" s="451"/>
      <c r="Q248" s="451"/>
      <c r="R248" s="451"/>
      <c r="S248" s="1350">
        <f t="shared" si="110"/>
        <v>358460</v>
      </c>
      <c r="T248" s="451">
        <f>SUM(S248)/1.27</f>
        <v>282252</v>
      </c>
      <c r="U248" s="660">
        <f>SUM(T248)*0.27</f>
        <v>76208</v>
      </c>
      <c r="V248" s="451">
        <v>358460</v>
      </c>
      <c r="W248" s="451"/>
      <c r="X248" s="660"/>
      <c r="Y248" s="1352"/>
      <c r="Z248" s="1137"/>
      <c r="AA248" s="1347"/>
      <c r="AB248" s="1137"/>
      <c r="AC248" s="1137"/>
      <c r="AD248" s="1347"/>
    </row>
    <row r="249" spans="1:30" ht="14.25" customHeight="1">
      <c r="A249" s="1572"/>
      <c r="B249" s="1537"/>
      <c r="C249" s="1538"/>
      <c r="D249" s="1539"/>
      <c r="E249" s="1540"/>
      <c r="F249" s="1539"/>
      <c r="G249" s="1539"/>
      <c r="H249" s="1539"/>
      <c r="I249" s="1423"/>
      <c r="J249" s="1423"/>
      <c r="K249" s="1422"/>
      <c r="L249" s="1137"/>
      <c r="M249" s="1137"/>
      <c r="N249" s="1347"/>
      <c r="O249" s="1573"/>
      <c r="P249" s="1424"/>
      <c r="Q249" s="1424"/>
      <c r="R249" s="1424"/>
      <c r="S249" s="1427"/>
      <c r="T249" s="451"/>
      <c r="U249" s="660"/>
      <c r="V249" s="451"/>
      <c r="W249" s="451"/>
      <c r="X249" s="660"/>
      <c r="Y249" s="1431"/>
      <c r="Z249" s="1137"/>
      <c r="AA249" s="1347"/>
      <c r="AB249" s="1137"/>
      <c r="AC249" s="1137"/>
      <c r="AD249" s="1347"/>
    </row>
    <row r="250" spans="1:30" s="326" customFormat="1" ht="19.5" customHeight="1">
      <c r="A250" s="1574" t="s">
        <v>1046</v>
      </c>
      <c r="B250" s="1575"/>
      <c r="C250" s="813">
        <f t="shared" ref="C250:R250" si="115">SUM(C9:C249)/2</f>
        <v>150000000</v>
      </c>
      <c r="D250" s="1576">
        <f t="shared" si="115"/>
        <v>118746000</v>
      </c>
      <c r="E250" s="1577">
        <f t="shared" si="115"/>
        <v>31254000</v>
      </c>
      <c r="F250" s="1576">
        <f t="shared" si="115"/>
        <v>150000000</v>
      </c>
      <c r="G250" s="1576">
        <f t="shared" si="115"/>
        <v>0</v>
      </c>
      <c r="H250" s="1576">
        <f t="shared" si="115"/>
        <v>0</v>
      </c>
      <c r="I250" s="1438">
        <f t="shared" si="115"/>
        <v>301102494</v>
      </c>
      <c r="J250" s="408">
        <f t="shared" si="115"/>
        <v>238011351</v>
      </c>
      <c r="K250" s="1442">
        <f t="shared" si="115"/>
        <v>63091143</v>
      </c>
      <c r="L250" s="1438">
        <f t="shared" si="115"/>
        <v>294006564</v>
      </c>
      <c r="M250" s="1437">
        <f t="shared" si="115"/>
        <v>7095930</v>
      </c>
      <c r="N250" s="1439">
        <f t="shared" si="115"/>
        <v>0</v>
      </c>
      <c r="O250" s="1438">
        <f t="shared" si="115"/>
        <v>-9904408</v>
      </c>
      <c r="P250" s="1437">
        <f t="shared" si="115"/>
        <v>-9904408</v>
      </c>
      <c r="Q250" s="1578">
        <f t="shared" si="115"/>
        <v>0</v>
      </c>
      <c r="R250" s="1439">
        <f t="shared" si="115"/>
        <v>0</v>
      </c>
      <c r="S250" s="1576">
        <f>SUM(S165+S156+S150+S144+S139+S132+S126+S119+S112+S105+S96+S90+S53+S38+S28+S9)</f>
        <v>439311547</v>
      </c>
      <c r="T250" s="1576">
        <f>SUM(T165+T156+T150+T144+T139+T132+T126+T119+T112+T105+T96+T90+T53+T38+T28+T9)</f>
        <v>325502339</v>
      </c>
      <c r="U250" s="1576">
        <f>SUM(U165+U156+U150+U144+U139+U132+U126+U119+U112+U105+U96+U90+U53+U38+U28+U9)</f>
        <v>87403208</v>
      </c>
      <c r="V250" s="1576">
        <f>SUM(V9:V249)/2</f>
        <v>305964569</v>
      </c>
      <c r="W250" s="1576">
        <f>SUM(W9:W249)/2</f>
        <v>7168594</v>
      </c>
      <c r="X250" s="1576">
        <f>SUM(X9:X249)/2</f>
        <v>3517000</v>
      </c>
      <c r="Y250" s="1576">
        <f>Y9+Y28+Y38+Y53+Y90+Y96+Y105+Y112+Y119+Y126+Y132+Y139+Y150+Y156+Y165+Y144</f>
        <v>270812616</v>
      </c>
      <c r="Z250" s="1576">
        <f>Z9+Z28+Z38+Z53+Z90+Z96+Z105+Z112+Z119+Z126+Z132+Z139+Z150+Z156+Z165+Z144</f>
        <v>213963629</v>
      </c>
      <c r="AA250" s="1576">
        <f>AA9+AA28+AA38+AA53+AA90+AA96+AA105+AA112+AA119+AA126+AA132+AA139+AA150+AA156+AA165+AA144</f>
        <v>56848987</v>
      </c>
      <c r="AB250" s="1576">
        <f>AB9+AB28+AB38+AB53+AB90+AB96+AB105+AB112+AB119+AB126+AB132+AB139+AB150+AB156+AB165+AB144</f>
        <v>264844022</v>
      </c>
      <c r="AC250" s="1576">
        <f>AC9+AC28+AC38+AC53+AC90+AC96+AC105+AC112+AC119+AC126+AC132+AC139+AC150+AC156+AC165+AC144</f>
        <v>5968594</v>
      </c>
      <c r="AD250" s="408">
        <v>0</v>
      </c>
    </row>
    <row r="251" spans="1:30" ht="12" customHeight="1">
      <c r="A251" s="1579"/>
      <c r="B251" s="1580"/>
      <c r="C251" s="1581"/>
      <c r="D251" s="1582"/>
      <c r="E251" s="1582"/>
      <c r="F251" s="1582"/>
      <c r="G251" s="1582"/>
      <c r="H251" s="1582"/>
      <c r="I251" s="1448"/>
      <c r="J251" s="1449"/>
      <c r="K251" s="1448"/>
      <c r="L251" s="1447"/>
      <c r="M251" s="1447"/>
      <c r="N251" s="1448"/>
      <c r="O251" s="1583"/>
      <c r="P251" s="1584"/>
      <c r="Q251" s="1447"/>
      <c r="R251" s="1447"/>
      <c r="S251" s="1451"/>
      <c r="T251" s="1452"/>
      <c r="U251" s="1453"/>
      <c r="V251" s="1452"/>
      <c r="W251" s="1452"/>
      <c r="X251" s="1453"/>
      <c r="Y251" s="1446"/>
      <c r="Z251" s="1447"/>
      <c r="AA251" s="1448"/>
      <c r="AB251" s="1447"/>
      <c r="AC251" s="1447"/>
      <c r="AD251" s="1448"/>
    </row>
    <row r="252" spans="1:30" s="293" customFormat="1" ht="15" customHeight="1">
      <c r="A252" s="1328" t="s">
        <v>1220</v>
      </c>
      <c r="B252" s="1590"/>
      <c r="C252" s="1591">
        <f t="shared" ref="C252:X252" si="116">SUM(C253:C271)</f>
        <v>79709000</v>
      </c>
      <c r="D252" s="1591">
        <f t="shared" si="116"/>
        <v>62763000</v>
      </c>
      <c r="E252" s="1591">
        <f t="shared" si="116"/>
        <v>16946000</v>
      </c>
      <c r="F252" s="1591">
        <f t="shared" si="116"/>
        <v>79709000</v>
      </c>
      <c r="G252" s="1591">
        <f t="shared" si="116"/>
        <v>0</v>
      </c>
      <c r="H252" s="1591">
        <f t="shared" si="116"/>
        <v>0</v>
      </c>
      <c r="I252" s="1334">
        <f t="shared" si="116"/>
        <v>85043000</v>
      </c>
      <c r="J252" s="1334">
        <f t="shared" si="116"/>
        <v>67005210</v>
      </c>
      <c r="K252" s="1333">
        <f t="shared" si="116"/>
        <v>18037790</v>
      </c>
      <c r="L252" s="1335">
        <f t="shared" si="116"/>
        <v>85043000</v>
      </c>
      <c r="M252" s="1335">
        <f t="shared" si="116"/>
        <v>0</v>
      </c>
      <c r="N252" s="1333">
        <f t="shared" si="116"/>
        <v>0</v>
      </c>
      <c r="O252" s="1554">
        <f t="shared" si="116"/>
        <v>167000</v>
      </c>
      <c r="P252" s="1337">
        <f t="shared" si="116"/>
        <v>167000</v>
      </c>
      <c r="Q252" s="1337">
        <f t="shared" si="116"/>
        <v>0</v>
      </c>
      <c r="R252" s="1337">
        <f t="shared" si="116"/>
        <v>0</v>
      </c>
      <c r="S252" s="1339">
        <f t="shared" si="116"/>
        <v>85392388</v>
      </c>
      <c r="T252" s="1339">
        <f t="shared" si="116"/>
        <v>67280319</v>
      </c>
      <c r="U252" s="1340">
        <f t="shared" si="116"/>
        <v>18112070</v>
      </c>
      <c r="V252" s="1341">
        <f t="shared" si="116"/>
        <v>85392388</v>
      </c>
      <c r="W252" s="1341">
        <f t="shared" si="116"/>
        <v>0</v>
      </c>
      <c r="X252" s="1340">
        <f t="shared" si="116"/>
        <v>0</v>
      </c>
      <c r="Y252" s="1334">
        <f>Y253+Y254+Y255+Y256+Y257+Y258+Y259+Y260+Y261+Y262+Y263+Y264+Y265+Y266+Y267+Y269+Y268+Y270</f>
        <v>69044250</v>
      </c>
      <c r="Z252" s="1334">
        <f>Z253+Z254+Z255+Z256+Z257+Z258+Z259+Z260+Z261+Z262+Z263+Z264+Z265+Z266+Z267+Z269+Z268+Z270</f>
        <v>54722026</v>
      </c>
      <c r="AA252" s="1334">
        <f>AA253+AA254+AA255+AA256+AA257+AA258+AA259+AA260+AA261+AA262+AA263+AA264+AA265+AA266+AA267+AA269+AA268+AA270</f>
        <v>14322224</v>
      </c>
      <c r="AB252" s="1334">
        <f>SUM(AB253:AB271)</f>
        <v>69044250</v>
      </c>
      <c r="AC252" s="1335">
        <f>SUM(AC253:AC271)</f>
        <v>0</v>
      </c>
      <c r="AD252" s="1333">
        <f>SUM(AD253:AD271)</f>
        <v>0</v>
      </c>
    </row>
    <row r="253" spans="1:30" s="293" customFormat="1" ht="12.75" customHeight="1">
      <c r="A253" s="1457" t="s">
        <v>1221</v>
      </c>
      <c r="B253" s="1343" t="s">
        <v>1222</v>
      </c>
      <c r="C253" s="1538">
        <v>2540000</v>
      </c>
      <c r="D253" s="1539">
        <v>2000000</v>
      </c>
      <c r="E253" s="1540">
        <v>540000</v>
      </c>
      <c r="F253" s="1539">
        <v>2540000</v>
      </c>
      <c r="G253" s="1539">
        <v>0</v>
      </c>
      <c r="H253" s="1539">
        <v>0</v>
      </c>
      <c r="I253" s="1347">
        <f t="shared" ref="I253:I271" si="117">SUM(L253:N253)</f>
        <v>1325000</v>
      </c>
      <c r="J253" s="1348">
        <v>1043260</v>
      </c>
      <c r="K253" s="1347">
        <v>281740</v>
      </c>
      <c r="L253" s="1137">
        <v>1325000</v>
      </c>
      <c r="M253" s="1137">
        <v>0</v>
      </c>
      <c r="N253" s="1347">
        <v>0</v>
      </c>
      <c r="O253" s="1349">
        <f t="shared" ref="O253:O271" si="118">SUM(P253:R253)</f>
        <v>0</v>
      </c>
      <c r="P253" s="1252"/>
      <c r="Q253" s="1252"/>
      <c r="R253" s="1252"/>
      <c r="S253" s="1350">
        <f t="shared" ref="S253:S271" si="119">SUM(V253:X253)</f>
        <v>1325000</v>
      </c>
      <c r="T253" s="451">
        <v>1043260</v>
      </c>
      <c r="U253" s="660">
        <f>SUM(T253)*0.27+60</f>
        <v>281740</v>
      </c>
      <c r="V253" s="451">
        <f t="shared" ref="V253:V262" si="120">SUM(L253+P253)</f>
        <v>1325000</v>
      </c>
      <c r="W253" s="451">
        <f t="shared" ref="W253:W262" si="121">SUM(M253+Q253)</f>
        <v>0</v>
      </c>
      <c r="X253" s="660">
        <f t="shared" ref="X253:X262" si="122">SUM(N253+R253)</f>
        <v>0</v>
      </c>
      <c r="Y253" s="1352">
        <f t="shared" ref="Y253:Y270" si="123">Z253+AA253</f>
        <v>0</v>
      </c>
      <c r="Z253" s="1137"/>
      <c r="AA253" s="1347"/>
      <c r="AB253" s="1137"/>
      <c r="AC253" s="1137"/>
      <c r="AD253" s="1347"/>
    </row>
    <row r="254" spans="1:30" s="293" customFormat="1" ht="12.75" customHeight="1">
      <c r="A254" s="1457" t="s">
        <v>1223</v>
      </c>
      <c r="B254" s="1343" t="s">
        <v>1224</v>
      </c>
      <c r="C254" s="1538">
        <v>3937000</v>
      </c>
      <c r="D254" s="1539">
        <v>3100000</v>
      </c>
      <c r="E254" s="1540">
        <v>837000</v>
      </c>
      <c r="F254" s="1539">
        <v>3937000</v>
      </c>
      <c r="G254" s="1539">
        <v>0</v>
      </c>
      <c r="H254" s="1539">
        <v>0</v>
      </c>
      <c r="I254" s="1347">
        <f t="shared" si="117"/>
        <v>3937000</v>
      </c>
      <c r="J254" s="1348">
        <f>SUM(I254)/1.27</f>
        <v>3100000</v>
      </c>
      <c r="K254" s="1347">
        <f>SUM(J254)*0.27</f>
        <v>837000</v>
      </c>
      <c r="L254" s="1137">
        <v>3937000</v>
      </c>
      <c r="M254" s="1137">
        <v>0</v>
      </c>
      <c r="N254" s="1347">
        <v>0</v>
      </c>
      <c r="O254" s="1349">
        <f t="shared" si="118"/>
        <v>0</v>
      </c>
      <c r="P254" s="1252"/>
      <c r="Q254" s="1252"/>
      <c r="R254" s="1252"/>
      <c r="S254" s="1350">
        <f t="shared" si="119"/>
        <v>3937000</v>
      </c>
      <c r="T254" s="451">
        <f>SUM(S254)/1.27</f>
        <v>3100000</v>
      </c>
      <c r="U254" s="660">
        <f>SUM(T254)*0.27</f>
        <v>837000</v>
      </c>
      <c r="V254" s="451">
        <f t="shared" si="120"/>
        <v>3937000</v>
      </c>
      <c r="W254" s="451">
        <f t="shared" si="121"/>
        <v>0</v>
      </c>
      <c r="X254" s="660">
        <f t="shared" si="122"/>
        <v>0</v>
      </c>
      <c r="Y254" s="1352">
        <f t="shared" si="123"/>
        <v>1718997</v>
      </c>
      <c r="Z254" s="1137">
        <f>1161665+157429+35786</f>
        <v>1354880</v>
      </c>
      <c r="AA254" s="1347">
        <f>311949+42506+9662</f>
        <v>364117</v>
      </c>
      <c r="AB254" s="1137">
        <v>1718997</v>
      </c>
      <c r="AC254" s="1137"/>
      <c r="AD254" s="1347"/>
    </row>
    <row r="255" spans="1:30" s="293" customFormat="1" ht="12.75" customHeight="1">
      <c r="A255" s="1457" t="s">
        <v>1225</v>
      </c>
      <c r="B255" s="1343" t="s">
        <v>1226</v>
      </c>
      <c r="C255" s="1538">
        <v>4826000</v>
      </c>
      <c r="D255" s="1539">
        <v>3800000</v>
      </c>
      <c r="E255" s="1540">
        <v>1026000</v>
      </c>
      <c r="F255" s="1539">
        <v>4826000</v>
      </c>
      <c r="G255" s="1539">
        <v>0</v>
      </c>
      <c r="H255" s="1539">
        <v>0</v>
      </c>
      <c r="I255" s="1347">
        <f t="shared" si="117"/>
        <v>4826000</v>
      </c>
      <c r="J255" s="1348">
        <f>SUM(I255)/1.27</f>
        <v>3800000</v>
      </c>
      <c r="K255" s="1347">
        <f>SUM(J255)*0.27</f>
        <v>1026000</v>
      </c>
      <c r="L255" s="1137">
        <v>4826000</v>
      </c>
      <c r="M255" s="1137">
        <v>0</v>
      </c>
      <c r="N255" s="1347">
        <v>0</v>
      </c>
      <c r="O255" s="1349">
        <f t="shared" si="118"/>
        <v>0</v>
      </c>
      <c r="P255" s="1252"/>
      <c r="Q255" s="1252"/>
      <c r="R255" s="1252"/>
      <c r="S255" s="1350">
        <f t="shared" si="119"/>
        <v>4826000</v>
      </c>
      <c r="T255" s="451">
        <f>SUM(S255)/1.27</f>
        <v>3800000</v>
      </c>
      <c r="U255" s="660">
        <f>SUM(T255)*0.27</f>
        <v>1026000</v>
      </c>
      <c r="V255" s="451">
        <f t="shared" si="120"/>
        <v>4826000</v>
      </c>
      <c r="W255" s="451">
        <f t="shared" si="121"/>
        <v>0</v>
      </c>
      <c r="X255" s="660">
        <f t="shared" si="122"/>
        <v>0</v>
      </c>
      <c r="Y255" s="1352">
        <f t="shared" si="123"/>
        <v>3942400</v>
      </c>
      <c r="Z255" s="1137">
        <f>3404681+12402</f>
        <v>3417083</v>
      </c>
      <c r="AA255" s="1347">
        <f>521969+3348</f>
        <v>525317</v>
      </c>
      <c r="AB255" s="1137">
        <v>3942400</v>
      </c>
      <c r="AC255" s="1137"/>
      <c r="AD255" s="1347"/>
    </row>
    <row r="256" spans="1:30" s="293" customFormat="1" ht="12.75" customHeight="1">
      <c r="A256" s="1457" t="s">
        <v>1227</v>
      </c>
      <c r="B256" s="1343" t="s">
        <v>1228</v>
      </c>
      <c r="C256" s="1538">
        <v>152000</v>
      </c>
      <c r="D256" s="1539">
        <v>120000</v>
      </c>
      <c r="E256" s="1540">
        <v>32000</v>
      </c>
      <c r="F256" s="1539">
        <v>152000</v>
      </c>
      <c r="G256" s="1539">
        <v>0</v>
      </c>
      <c r="H256" s="1539">
        <v>0</v>
      </c>
      <c r="I256" s="1347">
        <f t="shared" si="117"/>
        <v>152000</v>
      </c>
      <c r="J256" s="1351">
        <v>120000</v>
      </c>
      <c r="K256" s="660">
        <v>32000</v>
      </c>
      <c r="L256" s="1137">
        <v>152000</v>
      </c>
      <c r="M256" s="1137">
        <v>0</v>
      </c>
      <c r="N256" s="1347">
        <v>0</v>
      </c>
      <c r="O256" s="1349">
        <f t="shared" si="118"/>
        <v>0</v>
      </c>
      <c r="P256" s="1252"/>
      <c r="Q256" s="1252"/>
      <c r="R256" s="1252"/>
      <c r="S256" s="1350">
        <f t="shared" si="119"/>
        <v>152000</v>
      </c>
      <c r="T256" s="451">
        <f>SUM(S256)/1.27+315</f>
        <v>120000</v>
      </c>
      <c r="U256" s="660">
        <v>32000</v>
      </c>
      <c r="V256" s="451">
        <f t="shared" si="120"/>
        <v>152000</v>
      </c>
      <c r="W256" s="451">
        <f t="shared" si="121"/>
        <v>0</v>
      </c>
      <c r="X256" s="660">
        <f t="shared" si="122"/>
        <v>0</v>
      </c>
      <c r="Y256" s="1352">
        <f t="shared" si="123"/>
        <v>137980</v>
      </c>
      <c r="Z256" s="1137">
        <v>108645</v>
      </c>
      <c r="AA256" s="1347">
        <v>29335</v>
      </c>
      <c r="AB256" s="1137">
        <v>137980</v>
      </c>
      <c r="AC256" s="1137"/>
      <c r="AD256" s="1347"/>
    </row>
    <row r="257" spans="1:30" s="293" customFormat="1" ht="12.75" customHeight="1">
      <c r="A257" s="1457" t="s">
        <v>1229</v>
      </c>
      <c r="B257" s="1343" t="s">
        <v>1230</v>
      </c>
      <c r="C257" s="1538">
        <v>3493000</v>
      </c>
      <c r="D257" s="1539">
        <v>2750000</v>
      </c>
      <c r="E257" s="1540">
        <v>743000</v>
      </c>
      <c r="F257" s="1539">
        <v>3493000</v>
      </c>
      <c r="G257" s="1539">
        <v>0</v>
      </c>
      <c r="H257" s="1539">
        <v>0</v>
      </c>
      <c r="I257" s="1347">
        <f t="shared" si="117"/>
        <v>3493000</v>
      </c>
      <c r="J257" s="1351">
        <v>2750000</v>
      </c>
      <c r="K257" s="660">
        <v>743000</v>
      </c>
      <c r="L257" s="1137">
        <v>3493000</v>
      </c>
      <c r="M257" s="1137">
        <v>0</v>
      </c>
      <c r="N257" s="1347">
        <v>0</v>
      </c>
      <c r="O257" s="1349">
        <f t="shared" si="118"/>
        <v>0</v>
      </c>
      <c r="P257" s="1252"/>
      <c r="Q257" s="1252"/>
      <c r="R257" s="1252"/>
      <c r="S257" s="1350">
        <f t="shared" si="119"/>
        <v>3493000</v>
      </c>
      <c r="T257" s="451">
        <f>SUM(S257)/1.27-394</f>
        <v>2750000</v>
      </c>
      <c r="U257" s="660">
        <v>743000</v>
      </c>
      <c r="V257" s="451">
        <f t="shared" si="120"/>
        <v>3493000</v>
      </c>
      <c r="W257" s="451">
        <f t="shared" si="121"/>
        <v>0</v>
      </c>
      <c r="X257" s="660">
        <f t="shared" si="122"/>
        <v>0</v>
      </c>
      <c r="Y257" s="1352">
        <f t="shared" si="123"/>
        <v>3271520</v>
      </c>
      <c r="Z257" s="1137">
        <v>2576000</v>
      </c>
      <c r="AA257" s="1347">
        <v>695520</v>
      </c>
      <c r="AB257" s="1137">
        <v>3271520</v>
      </c>
      <c r="AC257" s="1137"/>
      <c r="AD257" s="1347"/>
    </row>
    <row r="258" spans="1:30" s="293" customFormat="1" ht="12.75" customHeight="1">
      <c r="A258" s="1457" t="s">
        <v>1231</v>
      </c>
      <c r="B258" s="1343" t="s">
        <v>1232</v>
      </c>
      <c r="C258" s="1538">
        <v>9208000</v>
      </c>
      <c r="D258" s="1539">
        <v>7250000</v>
      </c>
      <c r="E258" s="1540">
        <v>1958000</v>
      </c>
      <c r="F258" s="1539">
        <v>9208000</v>
      </c>
      <c r="G258" s="1539">
        <v>0</v>
      </c>
      <c r="H258" s="1539">
        <v>0</v>
      </c>
      <c r="I258" s="1347">
        <f t="shared" si="117"/>
        <v>9208000</v>
      </c>
      <c r="J258" s="1351">
        <v>7250000</v>
      </c>
      <c r="K258" s="660">
        <v>1958000</v>
      </c>
      <c r="L258" s="1137">
        <v>9208000</v>
      </c>
      <c r="M258" s="1137">
        <v>0</v>
      </c>
      <c r="N258" s="1347">
        <v>0</v>
      </c>
      <c r="O258" s="1349">
        <f t="shared" si="118"/>
        <v>0</v>
      </c>
      <c r="P258" s="1252"/>
      <c r="Q258" s="1252"/>
      <c r="R258" s="1252"/>
      <c r="S258" s="1350">
        <f t="shared" si="119"/>
        <v>9208000</v>
      </c>
      <c r="T258" s="451">
        <f>SUM(S258)/1.27-394</f>
        <v>7250000</v>
      </c>
      <c r="U258" s="660">
        <v>1958000</v>
      </c>
      <c r="V258" s="451">
        <f t="shared" si="120"/>
        <v>9208000</v>
      </c>
      <c r="W258" s="451">
        <f t="shared" si="121"/>
        <v>0</v>
      </c>
      <c r="X258" s="660">
        <f t="shared" si="122"/>
        <v>0</v>
      </c>
      <c r="Y258" s="1352">
        <f t="shared" si="123"/>
        <v>9207500</v>
      </c>
      <c r="Z258" s="1137">
        <v>7250000</v>
      </c>
      <c r="AA258" s="1347">
        <v>1957500</v>
      </c>
      <c r="AB258" s="1137">
        <v>9207500</v>
      </c>
      <c r="AC258" s="1137"/>
      <c r="AD258" s="1347"/>
    </row>
    <row r="259" spans="1:30" s="293" customFormat="1" ht="12.75" customHeight="1">
      <c r="A259" s="1457" t="s">
        <v>1233</v>
      </c>
      <c r="B259" s="1343" t="s">
        <v>1234</v>
      </c>
      <c r="C259" s="1538">
        <v>5080000</v>
      </c>
      <c r="D259" s="1539">
        <v>4000000</v>
      </c>
      <c r="E259" s="1540">
        <v>1080000</v>
      </c>
      <c r="F259" s="1539">
        <v>5080000</v>
      </c>
      <c r="G259" s="1539">
        <v>0</v>
      </c>
      <c r="H259" s="1539">
        <v>0</v>
      </c>
      <c r="I259" s="1347">
        <f t="shared" si="117"/>
        <v>6096000</v>
      </c>
      <c r="J259" s="1351">
        <f t="shared" ref="J259:J264" si="124">SUM(I259)/1.27</f>
        <v>4800000</v>
      </c>
      <c r="K259" s="660">
        <f t="shared" ref="K259:K264" si="125">SUM(J259)*0.27</f>
        <v>1296000</v>
      </c>
      <c r="L259" s="1137">
        <v>6096000</v>
      </c>
      <c r="M259" s="1137">
        <v>0</v>
      </c>
      <c r="N259" s="1347">
        <v>0</v>
      </c>
      <c r="O259" s="1349">
        <f t="shared" si="118"/>
        <v>0</v>
      </c>
      <c r="P259" s="1252"/>
      <c r="Q259" s="1252"/>
      <c r="R259" s="1252"/>
      <c r="S259" s="1350">
        <f t="shared" si="119"/>
        <v>6096000</v>
      </c>
      <c r="T259" s="451">
        <f t="shared" ref="T259:T264" si="126">SUM(S259)/1.27</f>
        <v>4800000</v>
      </c>
      <c r="U259" s="660">
        <f t="shared" ref="U259:U264" si="127">SUM(T259)*0.27</f>
        <v>1296000</v>
      </c>
      <c r="V259" s="451">
        <f t="shared" si="120"/>
        <v>6096000</v>
      </c>
      <c r="W259" s="451">
        <f t="shared" si="121"/>
        <v>0</v>
      </c>
      <c r="X259" s="660">
        <f t="shared" si="122"/>
        <v>0</v>
      </c>
      <c r="Y259" s="1352">
        <f t="shared" si="123"/>
        <v>5364827</v>
      </c>
      <c r="Z259" s="1137">
        <v>4224273</v>
      </c>
      <c r="AA259" s="1347">
        <v>1140554</v>
      </c>
      <c r="AB259" s="1137">
        <v>5364827</v>
      </c>
      <c r="AC259" s="1137"/>
      <c r="AD259" s="1347"/>
    </row>
    <row r="260" spans="1:30" s="293" customFormat="1" ht="12.75" customHeight="1">
      <c r="A260" s="1457" t="s">
        <v>1235</v>
      </c>
      <c r="B260" s="1343" t="s">
        <v>1236</v>
      </c>
      <c r="C260" s="1538">
        <v>8001000</v>
      </c>
      <c r="D260" s="1539">
        <v>6300000</v>
      </c>
      <c r="E260" s="1540">
        <v>1701000</v>
      </c>
      <c r="F260" s="1539">
        <v>8001000</v>
      </c>
      <c r="G260" s="1539">
        <v>0</v>
      </c>
      <c r="H260" s="1539">
        <v>0</v>
      </c>
      <c r="I260" s="1347">
        <f t="shared" si="117"/>
        <v>8001000</v>
      </c>
      <c r="J260" s="1351">
        <f t="shared" si="124"/>
        <v>6300000</v>
      </c>
      <c r="K260" s="660">
        <f t="shared" si="125"/>
        <v>1701000</v>
      </c>
      <c r="L260" s="1137">
        <v>8001000</v>
      </c>
      <c r="M260" s="1137">
        <v>0</v>
      </c>
      <c r="N260" s="1347">
        <v>0</v>
      </c>
      <c r="O260" s="1349">
        <f t="shared" si="118"/>
        <v>167000</v>
      </c>
      <c r="P260" s="1252">
        <v>167000</v>
      </c>
      <c r="Q260" s="1252"/>
      <c r="R260" s="1252"/>
      <c r="S260" s="1350">
        <f t="shared" si="119"/>
        <v>8168000</v>
      </c>
      <c r="T260" s="451">
        <f t="shared" si="126"/>
        <v>6431496</v>
      </c>
      <c r="U260" s="660">
        <f t="shared" si="127"/>
        <v>1736504</v>
      </c>
      <c r="V260" s="451">
        <f t="shared" si="120"/>
        <v>8168000</v>
      </c>
      <c r="W260" s="451">
        <f t="shared" si="121"/>
        <v>0</v>
      </c>
      <c r="X260" s="660">
        <f t="shared" si="122"/>
        <v>0</v>
      </c>
      <c r="Y260" s="1352">
        <f t="shared" si="123"/>
        <v>7870000</v>
      </c>
      <c r="Z260" s="1137">
        <v>6196850</v>
      </c>
      <c r="AA260" s="1347">
        <v>1673150</v>
      </c>
      <c r="AB260" s="1137">
        <v>7870000</v>
      </c>
      <c r="AC260" s="1137"/>
      <c r="AD260" s="1347"/>
    </row>
    <row r="261" spans="1:30" s="293" customFormat="1" ht="12.75" customHeight="1">
      <c r="A261" s="1457" t="s">
        <v>1237</v>
      </c>
      <c r="B261" s="1343" t="s">
        <v>1238</v>
      </c>
      <c r="C261" s="1538">
        <v>15748000</v>
      </c>
      <c r="D261" s="1539">
        <v>12400000</v>
      </c>
      <c r="E261" s="1540">
        <v>3348000</v>
      </c>
      <c r="F261" s="1539">
        <v>15748000</v>
      </c>
      <c r="G261" s="1539">
        <v>0</v>
      </c>
      <c r="H261" s="1539">
        <v>0</v>
      </c>
      <c r="I261" s="1347">
        <f t="shared" si="117"/>
        <v>15748000</v>
      </c>
      <c r="J261" s="1351">
        <f t="shared" si="124"/>
        <v>12400000</v>
      </c>
      <c r="K261" s="660">
        <f t="shared" si="125"/>
        <v>3348000</v>
      </c>
      <c r="L261" s="1137">
        <v>15748000</v>
      </c>
      <c r="M261" s="1137">
        <v>0</v>
      </c>
      <c r="N261" s="1347">
        <v>0</v>
      </c>
      <c r="O261" s="1349">
        <f t="shared" si="118"/>
        <v>0</v>
      </c>
      <c r="P261" s="1252"/>
      <c r="Q261" s="1252"/>
      <c r="R261" s="1252"/>
      <c r="S261" s="1350">
        <f t="shared" si="119"/>
        <v>15748000</v>
      </c>
      <c r="T261" s="451">
        <f t="shared" si="126"/>
        <v>12400000</v>
      </c>
      <c r="U261" s="660">
        <f t="shared" si="127"/>
        <v>3348000</v>
      </c>
      <c r="V261" s="451">
        <f t="shared" si="120"/>
        <v>15748000</v>
      </c>
      <c r="W261" s="451">
        <f t="shared" si="121"/>
        <v>0</v>
      </c>
      <c r="X261" s="660">
        <f t="shared" si="122"/>
        <v>0</v>
      </c>
      <c r="Y261" s="1352">
        <f t="shared" si="123"/>
        <v>13808964</v>
      </c>
      <c r="Z261" s="1137">
        <v>10873200</v>
      </c>
      <c r="AA261" s="1347">
        <v>2935764</v>
      </c>
      <c r="AB261" s="1137">
        <v>13808964</v>
      </c>
      <c r="AC261" s="1137"/>
      <c r="AD261" s="1347"/>
    </row>
    <row r="262" spans="1:30" s="293" customFormat="1" ht="12.75" customHeight="1">
      <c r="A262" s="1457" t="s">
        <v>1239</v>
      </c>
      <c r="B262" s="1343" t="s">
        <v>1240</v>
      </c>
      <c r="C262" s="1538">
        <v>1270000</v>
      </c>
      <c r="D262" s="1539">
        <v>1000000</v>
      </c>
      <c r="E262" s="1540">
        <v>270000</v>
      </c>
      <c r="F262" s="1539">
        <v>1270000</v>
      </c>
      <c r="G262" s="1539">
        <v>0</v>
      </c>
      <c r="H262" s="1539">
        <v>0</v>
      </c>
      <c r="I262" s="1347">
        <f t="shared" si="117"/>
        <v>1270000</v>
      </c>
      <c r="J262" s="1351">
        <f t="shared" si="124"/>
        <v>1000000</v>
      </c>
      <c r="K262" s="660">
        <f t="shared" si="125"/>
        <v>270000</v>
      </c>
      <c r="L262" s="1137">
        <v>1270000</v>
      </c>
      <c r="M262" s="1137">
        <v>0</v>
      </c>
      <c r="N262" s="1347">
        <v>0</v>
      </c>
      <c r="O262" s="1349">
        <f t="shared" si="118"/>
        <v>0</v>
      </c>
      <c r="P262" s="1252"/>
      <c r="Q262" s="1252"/>
      <c r="R262" s="1252"/>
      <c r="S262" s="1350">
        <f t="shared" si="119"/>
        <v>1270000</v>
      </c>
      <c r="T262" s="451">
        <f t="shared" si="126"/>
        <v>1000000</v>
      </c>
      <c r="U262" s="660">
        <f t="shared" si="127"/>
        <v>270000</v>
      </c>
      <c r="V262" s="451">
        <f t="shared" si="120"/>
        <v>1270000</v>
      </c>
      <c r="W262" s="451">
        <f t="shared" si="121"/>
        <v>0</v>
      </c>
      <c r="X262" s="660">
        <f t="shared" si="122"/>
        <v>0</v>
      </c>
      <c r="Y262" s="1352">
        <f t="shared" si="123"/>
        <v>0</v>
      </c>
      <c r="Z262" s="1137"/>
      <c r="AA262" s="1347"/>
      <c r="AB262" s="1137"/>
      <c r="AC262" s="1137"/>
      <c r="AD262" s="1347"/>
    </row>
    <row r="263" spans="1:30" s="293" customFormat="1" ht="12.75" customHeight="1">
      <c r="A263" s="1457" t="s">
        <v>1241</v>
      </c>
      <c r="B263" s="1343" t="s">
        <v>1242</v>
      </c>
      <c r="C263" s="1538">
        <v>7620000</v>
      </c>
      <c r="D263" s="1539">
        <v>6000000</v>
      </c>
      <c r="E263" s="1540">
        <v>1620000</v>
      </c>
      <c r="F263" s="1539">
        <v>7620000</v>
      </c>
      <c r="G263" s="1539">
        <v>0</v>
      </c>
      <c r="H263" s="1539">
        <v>0</v>
      </c>
      <c r="I263" s="1347">
        <f t="shared" si="117"/>
        <v>12446000</v>
      </c>
      <c r="J263" s="1351">
        <f t="shared" si="124"/>
        <v>9800000</v>
      </c>
      <c r="K263" s="660">
        <f t="shared" si="125"/>
        <v>2646000</v>
      </c>
      <c r="L263" s="1137">
        <v>12446000</v>
      </c>
      <c r="M263" s="1137">
        <v>0</v>
      </c>
      <c r="N263" s="1347">
        <v>0</v>
      </c>
      <c r="O263" s="1349">
        <f t="shared" si="118"/>
        <v>0</v>
      </c>
      <c r="P263" s="1252"/>
      <c r="Q263" s="1252"/>
      <c r="R263" s="1252"/>
      <c r="S263" s="1350">
        <f t="shared" si="119"/>
        <v>5080000</v>
      </c>
      <c r="T263" s="451">
        <f t="shared" si="126"/>
        <v>4000000</v>
      </c>
      <c r="U263" s="660">
        <f t="shared" si="127"/>
        <v>1080000</v>
      </c>
      <c r="V263" s="451">
        <v>5080000</v>
      </c>
      <c r="W263" s="451">
        <f t="shared" ref="W263:W271" si="128">SUM(M263+Q263)</f>
        <v>0</v>
      </c>
      <c r="X263" s="660">
        <f t="shared" ref="X263:X271" si="129">SUM(N263+R263)</f>
        <v>0</v>
      </c>
      <c r="Y263" s="1352">
        <f t="shared" si="123"/>
        <v>304025</v>
      </c>
      <c r="Z263" s="1137">
        <v>239390</v>
      </c>
      <c r="AA263" s="1347">
        <v>64635</v>
      </c>
      <c r="AB263" s="1137">
        <v>304025</v>
      </c>
      <c r="AC263" s="1137"/>
      <c r="AD263" s="1347"/>
    </row>
    <row r="264" spans="1:30" s="293" customFormat="1" ht="12.75" customHeight="1">
      <c r="A264" s="1457" t="s">
        <v>1243</v>
      </c>
      <c r="B264" s="1343" t="s">
        <v>1244</v>
      </c>
      <c r="C264" s="1538">
        <v>13843000</v>
      </c>
      <c r="D264" s="1539">
        <v>10900000</v>
      </c>
      <c r="E264" s="1540">
        <v>2943000</v>
      </c>
      <c r="F264" s="1539">
        <v>13843000</v>
      </c>
      <c r="G264" s="1539">
        <v>0</v>
      </c>
      <c r="H264" s="1539">
        <v>0</v>
      </c>
      <c r="I264" s="1347">
        <f t="shared" si="117"/>
        <v>13843000</v>
      </c>
      <c r="J264" s="1351">
        <f t="shared" si="124"/>
        <v>10900000</v>
      </c>
      <c r="K264" s="660">
        <f t="shared" si="125"/>
        <v>2943000</v>
      </c>
      <c r="L264" s="1137">
        <v>13843000</v>
      </c>
      <c r="M264" s="1137">
        <v>0</v>
      </c>
      <c r="N264" s="1347">
        <v>0</v>
      </c>
      <c r="O264" s="1349">
        <f t="shared" si="118"/>
        <v>0</v>
      </c>
      <c r="P264" s="1252"/>
      <c r="Q264" s="1252"/>
      <c r="R264" s="1252"/>
      <c r="S264" s="1350">
        <f t="shared" si="119"/>
        <v>21209000</v>
      </c>
      <c r="T264" s="451">
        <f t="shared" si="126"/>
        <v>16700000</v>
      </c>
      <c r="U264" s="660">
        <f t="shared" si="127"/>
        <v>4509000</v>
      </c>
      <c r="V264" s="451">
        <v>21209000</v>
      </c>
      <c r="W264" s="451">
        <f t="shared" si="128"/>
        <v>0</v>
      </c>
      <c r="X264" s="660">
        <f t="shared" si="129"/>
        <v>0</v>
      </c>
      <c r="Y264" s="1352">
        <f t="shared" si="123"/>
        <v>18780928</v>
      </c>
      <c r="Z264" s="1137">
        <v>14788131</v>
      </c>
      <c r="AA264" s="1347">
        <v>3992797</v>
      </c>
      <c r="AB264" s="1137">
        <v>18780928</v>
      </c>
      <c r="AC264" s="1137"/>
      <c r="AD264" s="1347"/>
    </row>
    <row r="265" spans="1:30" s="293" customFormat="1" ht="12.75" customHeight="1">
      <c r="A265" s="1457">
        <v>53010</v>
      </c>
      <c r="B265" s="1379" t="s">
        <v>1245</v>
      </c>
      <c r="C265" s="1538">
        <v>3087000</v>
      </c>
      <c r="D265" s="1539">
        <v>2431000</v>
      </c>
      <c r="E265" s="1540">
        <v>656000</v>
      </c>
      <c r="F265" s="1539">
        <v>3087000</v>
      </c>
      <c r="G265" s="1539">
        <v>0</v>
      </c>
      <c r="H265" s="1539">
        <v>0</v>
      </c>
      <c r="I265" s="1347">
        <f t="shared" si="117"/>
        <v>3087000</v>
      </c>
      <c r="J265" s="1351">
        <v>2431000</v>
      </c>
      <c r="K265" s="660">
        <v>656000</v>
      </c>
      <c r="L265" s="1137">
        <v>3087000</v>
      </c>
      <c r="M265" s="1137">
        <v>0</v>
      </c>
      <c r="N265" s="1347">
        <v>0</v>
      </c>
      <c r="O265" s="1349">
        <f t="shared" si="118"/>
        <v>0</v>
      </c>
      <c r="P265" s="1252"/>
      <c r="Q265" s="1252"/>
      <c r="R265" s="1252"/>
      <c r="S265" s="1350">
        <f t="shared" si="119"/>
        <v>3087000</v>
      </c>
      <c r="T265" s="451">
        <f>SUM(S265)/1.27+291</f>
        <v>2431000</v>
      </c>
      <c r="U265" s="660">
        <f>SUM(T265)*0.27-370</f>
        <v>656000</v>
      </c>
      <c r="V265" s="451">
        <f>SUM(L265+P265)</f>
        <v>3087000</v>
      </c>
      <c r="W265" s="451">
        <f t="shared" si="128"/>
        <v>0</v>
      </c>
      <c r="X265" s="660">
        <f t="shared" si="129"/>
        <v>0</v>
      </c>
      <c r="Y265" s="1352">
        <f t="shared" si="123"/>
        <v>3087116</v>
      </c>
      <c r="Z265" s="1137">
        <v>2430800</v>
      </c>
      <c r="AA265" s="1347">
        <v>656316</v>
      </c>
      <c r="AB265" s="1137">
        <v>3087116</v>
      </c>
      <c r="AC265" s="1137"/>
      <c r="AD265" s="1347"/>
    </row>
    <row r="266" spans="1:30" s="293" customFormat="1" ht="12.75" customHeight="1">
      <c r="A266" s="1457">
        <v>53006</v>
      </c>
      <c r="B266" s="1343" t="s">
        <v>1246</v>
      </c>
      <c r="C266" s="1538">
        <v>904000</v>
      </c>
      <c r="D266" s="1539">
        <v>712000</v>
      </c>
      <c r="E266" s="1540">
        <v>192000</v>
      </c>
      <c r="F266" s="1539">
        <v>904000</v>
      </c>
      <c r="G266" s="1539">
        <v>0</v>
      </c>
      <c r="H266" s="1539">
        <v>0</v>
      </c>
      <c r="I266" s="1347">
        <f t="shared" si="117"/>
        <v>904000</v>
      </c>
      <c r="J266" s="1351">
        <v>712000</v>
      </c>
      <c r="K266" s="660">
        <v>192000</v>
      </c>
      <c r="L266" s="1137">
        <v>904000</v>
      </c>
      <c r="M266" s="1137">
        <v>0</v>
      </c>
      <c r="N266" s="1347">
        <v>0</v>
      </c>
      <c r="O266" s="1349">
        <f t="shared" si="118"/>
        <v>0</v>
      </c>
      <c r="P266" s="1252"/>
      <c r="Q266" s="1252"/>
      <c r="R266" s="1252"/>
      <c r="S266" s="1350">
        <f t="shared" si="119"/>
        <v>904000</v>
      </c>
      <c r="T266" s="451">
        <f>SUM(S266)/1.27+189</f>
        <v>712000</v>
      </c>
      <c r="U266" s="660">
        <f>SUM(T266)*0.27-240</f>
        <v>192000</v>
      </c>
      <c r="V266" s="451">
        <f>SUM(L266+P266)</f>
        <v>904000</v>
      </c>
      <c r="W266" s="451">
        <f t="shared" si="128"/>
        <v>0</v>
      </c>
      <c r="X266" s="660">
        <f t="shared" si="129"/>
        <v>0</v>
      </c>
      <c r="Y266" s="1352">
        <f t="shared" si="123"/>
        <v>903605</v>
      </c>
      <c r="Z266" s="1137">
        <v>711500</v>
      </c>
      <c r="AA266" s="1347">
        <v>192105</v>
      </c>
      <c r="AB266" s="1137">
        <v>903605</v>
      </c>
      <c r="AC266" s="1137"/>
      <c r="AD266" s="1347"/>
    </row>
    <row r="267" spans="1:30" s="293" customFormat="1" ht="15" customHeight="1">
      <c r="A267" s="1585" t="s">
        <v>1247</v>
      </c>
      <c r="B267" s="1343" t="s">
        <v>1248</v>
      </c>
      <c r="C267" s="1538">
        <v>0</v>
      </c>
      <c r="D267" s="1539">
        <v>0</v>
      </c>
      <c r="E267" s="1540">
        <v>0</v>
      </c>
      <c r="F267" s="1539"/>
      <c r="G267" s="1539">
        <v>0</v>
      </c>
      <c r="H267" s="1539">
        <v>0</v>
      </c>
      <c r="I267" s="1347">
        <f t="shared" si="117"/>
        <v>99000</v>
      </c>
      <c r="J267" s="1351">
        <f>SUM(I267)/1</f>
        <v>99000</v>
      </c>
      <c r="K267" s="1347">
        <f>SUM(J267)*0</f>
        <v>0</v>
      </c>
      <c r="L267" s="1137">
        <v>99000</v>
      </c>
      <c r="M267" s="1137">
        <v>0</v>
      </c>
      <c r="N267" s="1347">
        <v>0</v>
      </c>
      <c r="O267" s="1349">
        <f t="shared" si="118"/>
        <v>0</v>
      </c>
      <c r="P267" s="1252"/>
      <c r="Q267" s="1252"/>
      <c r="R267" s="1252"/>
      <c r="S267" s="1350">
        <f t="shared" si="119"/>
        <v>99000</v>
      </c>
      <c r="T267" s="451">
        <f>SUM(S267)</f>
        <v>99000</v>
      </c>
      <c r="U267" s="660">
        <v>0</v>
      </c>
      <c r="V267" s="451">
        <f>SUM(L267+P267)</f>
        <v>99000</v>
      </c>
      <c r="W267" s="451">
        <f t="shared" si="128"/>
        <v>0</v>
      </c>
      <c r="X267" s="660">
        <f t="shared" si="129"/>
        <v>0</v>
      </c>
      <c r="Y267" s="1352">
        <f t="shared" si="123"/>
        <v>99000</v>
      </c>
      <c r="Z267" s="1137">
        <v>99000</v>
      </c>
      <c r="AA267" s="1347"/>
      <c r="AB267" s="1137">
        <v>99000</v>
      </c>
      <c r="AC267" s="1137"/>
      <c r="AD267" s="1347"/>
    </row>
    <row r="268" spans="1:30" s="293" customFormat="1" ht="12.75" customHeight="1">
      <c r="A268" s="1585" t="s">
        <v>1249</v>
      </c>
      <c r="B268" s="1343" t="s">
        <v>1250</v>
      </c>
      <c r="C268" s="1538">
        <v>0</v>
      </c>
      <c r="D268" s="1539">
        <v>0</v>
      </c>
      <c r="E268" s="1540">
        <v>0</v>
      </c>
      <c r="F268" s="1539"/>
      <c r="G268" s="1539">
        <v>0</v>
      </c>
      <c r="H268" s="1539">
        <v>0</v>
      </c>
      <c r="I268" s="1347">
        <f t="shared" si="117"/>
        <v>100000</v>
      </c>
      <c r="J268" s="1351">
        <f>SUM(I268)/1</f>
        <v>100000</v>
      </c>
      <c r="K268" s="1347">
        <f>SUM(J268)*0</f>
        <v>0</v>
      </c>
      <c r="L268" s="1137">
        <v>100000</v>
      </c>
      <c r="M268" s="1137">
        <v>0</v>
      </c>
      <c r="N268" s="1347">
        <v>0</v>
      </c>
      <c r="O268" s="1349">
        <f t="shared" si="118"/>
        <v>0</v>
      </c>
      <c r="P268" s="1252"/>
      <c r="Q268" s="1252"/>
      <c r="R268" s="1252"/>
      <c r="S268" s="1350">
        <f t="shared" si="119"/>
        <v>100000</v>
      </c>
      <c r="T268" s="451">
        <f>SUM(S268)</f>
        <v>100000</v>
      </c>
      <c r="U268" s="660">
        <v>0</v>
      </c>
      <c r="V268" s="451">
        <f>SUM(L268+P268)</f>
        <v>100000</v>
      </c>
      <c r="W268" s="451">
        <f t="shared" si="128"/>
        <v>0</v>
      </c>
      <c r="X268" s="660">
        <f t="shared" si="129"/>
        <v>0</v>
      </c>
      <c r="Y268" s="1352">
        <f t="shared" si="123"/>
        <v>100000</v>
      </c>
      <c r="Z268" s="1137">
        <v>100000</v>
      </c>
      <c r="AA268" s="1347"/>
      <c r="AB268" s="1137">
        <v>100000</v>
      </c>
      <c r="AC268" s="1137"/>
      <c r="AD268" s="1347"/>
    </row>
    <row r="269" spans="1:30" s="293" customFormat="1" ht="14.25" customHeight="1">
      <c r="A269" s="1585" t="s">
        <v>1251</v>
      </c>
      <c r="B269" s="1343" t="s">
        <v>1252</v>
      </c>
      <c r="C269" s="1538">
        <v>0</v>
      </c>
      <c r="D269" s="1539">
        <v>0</v>
      </c>
      <c r="E269" s="1540">
        <v>0</v>
      </c>
      <c r="F269" s="1539"/>
      <c r="G269" s="1539">
        <v>0</v>
      </c>
      <c r="H269" s="1539">
        <v>0</v>
      </c>
      <c r="I269" s="1347">
        <f t="shared" si="117"/>
        <v>508000</v>
      </c>
      <c r="J269" s="1137">
        <v>399950</v>
      </c>
      <c r="K269" s="1347">
        <v>108050</v>
      </c>
      <c r="L269" s="1137">
        <v>508000</v>
      </c>
      <c r="M269" s="1137">
        <v>0</v>
      </c>
      <c r="N269" s="1347">
        <v>0</v>
      </c>
      <c r="O269" s="1349">
        <f t="shared" si="118"/>
        <v>0</v>
      </c>
      <c r="P269" s="1252"/>
      <c r="Q269" s="1252"/>
      <c r="R269" s="1252"/>
      <c r="S269" s="1350">
        <f t="shared" si="119"/>
        <v>508000</v>
      </c>
      <c r="T269" s="451">
        <f>SUM(S269)/1.27-50</f>
        <v>399950</v>
      </c>
      <c r="U269" s="660">
        <f>SUM(T269)*0.27+63</f>
        <v>108050</v>
      </c>
      <c r="V269" s="451">
        <f>SUM(L269+P269)</f>
        <v>508000</v>
      </c>
      <c r="W269" s="451">
        <f t="shared" si="128"/>
        <v>0</v>
      </c>
      <c r="X269" s="660">
        <f t="shared" si="129"/>
        <v>0</v>
      </c>
      <c r="Y269" s="1352">
        <f t="shared" si="123"/>
        <v>265000</v>
      </c>
      <c r="Z269" s="1137">
        <v>208661</v>
      </c>
      <c r="AA269" s="1347">
        <v>56339</v>
      </c>
      <c r="AB269" s="1137">
        <v>265000</v>
      </c>
      <c r="AC269" s="1137"/>
      <c r="AD269" s="1347"/>
    </row>
    <row r="270" spans="1:30" s="293" customFormat="1" ht="15" customHeight="1">
      <c r="A270" s="1585" t="s">
        <v>1253</v>
      </c>
      <c r="B270" s="1369" t="s">
        <v>1254</v>
      </c>
      <c r="C270" s="1538"/>
      <c r="D270" s="1539"/>
      <c r="E270" s="1540"/>
      <c r="F270" s="1539"/>
      <c r="G270" s="1539"/>
      <c r="H270" s="1539"/>
      <c r="I270" s="1347">
        <f t="shared" si="117"/>
        <v>0</v>
      </c>
      <c r="J270" s="1348">
        <f>SUM(I270)/1.25</f>
        <v>0</v>
      </c>
      <c r="K270" s="1347">
        <f>SUM(J270)*0.25</f>
        <v>0</v>
      </c>
      <c r="L270" s="1137"/>
      <c r="M270" s="1137"/>
      <c r="N270" s="1347"/>
      <c r="O270" s="1349">
        <f t="shared" si="118"/>
        <v>0</v>
      </c>
      <c r="P270" s="1252"/>
      <c r="Q270" s="1252"/>
      <c r="R270" s="1252"/>
      <c r="S270" s="1350">
        <f t="shared" si="119"/>
        <v>182388</v>
      </c>
      <c r="T270" s="451">
        <f>SUM(S270)/1.27</f>
        <v>143613</v>
      </c>
      <c r="U270" s="660">
        <f>SUM(T270)*0.27</f>
        <v>38776</v>
      </c>
      <c r="V270" s="451">
        <v>182388</v>
      </c>
      <c r="W270" s="451">
        <f t="shared" si="128"/>
        <v>0</v>
      </c>
      <c r="X270" s="660">
        <f t="shared" si="129"/>
        <v>0</v>
      </c>
      <c r="Y270" s="1352">
        <f t="shared" si="123"/>
        <v>182388</v>
      </c>
      <c r="Z270" s="1137">
        <v>143613</v>
      </c>
      <c r="AA270" s="1347">
        <v>38775</v>
      </c>
      <c r="AB270" s="1137">
        <v>182388</v>
      </c>
      <c r="AC270" s="1137"/>
      <c r="AD270" s="1347"/>
    </row>
    <row r="271" spans="1:30" s="293" customFormat="1" ht="15" customHeight="1">
      <c r="A271" s="1585" t="s">
        <v>1253</v>
      </c>
      <c r="B271" s="1369" t="s">
        <v>1255</v>
      </c>
      <c r="C271" s="1538"/>
      <c r="D271" s="1539"/>
      <c r="E271" s="1540"/>
      <c r="F271" s="1539"/>
      <c r="G271" s="1539"/>
      <c r="H271" s="1539"/>
      <c r="I271" s="1347">
        <f t="shared" si="117"/>
        <v>0</v>
      </c>
      <c r="J271" s="1348">
        <f>SUM(I271)/1.25</f>
        <v>0</v>
      </c>
      <c r="K271" s="1347">
        <f>SUM(J271)*0.25</f>
        <v>0</v>
      </c>
      <c r="L271" s="1137"/>
      <c r="M271" s="1137"/>
      <c r="N271" s="1347"/>
      <c r="O271" s="1349">
        <f t="shared" si="118"/>
        <v>0</v>
      </c>
      <c r="P271" s="1252"/>
      <c r="Q271" s="1252"/>
      <c r="R271" s="1252"/>
      <c r="S271" s="1350">
        <f t="shared" si="119"/>
        <v>0</v>
      </c>
      <c r="T271" s="451">
        <f>SUM(S271)/1.27</f>
        <v>0</v>
      </c>
      <c r="U271" s="660">
        <f>SUM(T271)*0.27</f>
        <v>0</v>
      </c>
      <c r="V271" s="451">
        <f>SUM(L271+P271)</f>
        <v>0</v>
      </c>
      <c r="W271" s="451">
        <f t="shared" si="128"/>
        <v>0</v>
      </c>
      <c r="X271" s="660">
        <f t="shared" si="129"/>
        <v>0</v>
      </c>
      <c r="Y271" s="1352"/>
      <c r="Z271" s="1137"/>
      <c r="AA271" s="1347"/>
      <c r="AB271" s="1137"/>
      <c r="AC271" s="1137"/>
      <c r="AD271" s="1347"/>
    </row>
    <row r="272" spans="1:30" s="293" customFormat="1" ht="10.5" customHeight="1">
      <c r="A272" s="1385"/>
      <c r="B272" s="1343"/>
      <c r="C272" s="1540"/>
      <c r="D272" s="1540"/>
      <c r="E272" s="1540"/>
      <c r="F272" s="1540"/>
      <c r="G272" s="1540"/>
      <c r="H272" s="1540"/>
      <c r="I272" s="1347"/>
      <c r="J272" s="1423"/>
      <c r="K272" s="1422"/>
      <c r="L272" s="1137"/>
      <c r="M272" s="1137"/>
      <c r="N272" s="1347"/>
      <c r="O272" s="1586"/>
      <c r="P272" s="1587"/>
      <c r="Q272" s="1587"/>
      <c r="R272" s="1587"/>
      <c r="S272" s="1350"/>
      <c r="T272" s="451"/>
      <c r="U272" s="660"/>
      <c r="V272" s="451"/>
      <c r="W272" s="451"/>
      <c r="X272" s="660"/>
      <c r="Y272" s="1352"/>
      <c r="Z272" s="1137"/>
      <c r="AA272" s="1347"/>
      <c r="AB272" s="1137"/>
      <c r="AC272" s="1137"/>
      <c r="AD272" s="1347"/>
    </row>
    <row r="273" spans="1:30" s="326" customFormat="1" ht="15" customHeight="1">
      <c r="A273" s="1432" t="s">
        <v>1256</v>
      </c>
      <c r="B273" s="1588"/>
      <c r="C273" s="1577">
        <f t="shared" ref="C273:W273" si="130">SUM(C251:C272)/2</f>
        <v>79709000</v>
      </c>
      <c r="D273" s="1577">
        <f t="shared" si="130"/>
        <v>62763000</v>
      </c>
      <c r="E273" s="1577">
        <f t="shared" si="130"/>
        <v>16946000</v>
      </c>
      <c r="F273" s="1577">
        <f t="shared" si="130"/>
        <v>79709000</v>
      </c>
      <c r="G273" s="1577">
        <f t="shared" si="130"/>
        <v>0</v>
      </c>
      <c r="H273" s="1577">
        <f t="shared" si="130"/>
        <v>0</v>
      </c>
      <c r="I273" s="1442">
        <f t="shared" si="130"/>
        <v>85043000</v>
      </c>
      <c r="J273" s="1440">
        <f t="shared" si="130"/>
        <v>67005210</v>
      </c>
      <c r="K273" s="1442">
        <f t="shared" si="130"/>
        <v>18037790</v>
      </c>
      <c r="L273" s="1438">
        <f t="shared" si="130"/>
        <v>85043000</v>
      </c>
      <c r="M273" s="1437">
        <f t="shared" si="130"/>
        <v>0</v>
      </c>
      <c r="N273" s="1439">
        <f t="shared" si="130"/>
        <v>0</v>
      </c>
      <c r="O273" s="1438">
        <f t="shared" si="130"/>
        <v>167000</v>
      </c>
      <c r="P273" s="1437">
        <f t="shared" si="130"/>
        <v>167000</v>
      </c>
      <c r="Q273" s="1437">
        <f t="shared" si="130"/>
        <v>0</v>
      </c>
      <c r="R273" s="1439">
        <f t="shared" si="130"/>
        <v>0</v>
      </c>
      <c r="S273" s="1577">
        <f t="shared" si="130"/>
        <v>85392388</v>
      </c>
      <c r="T273" s="1577">
        <f t="shared" si="130"/>
        <v>67280319</v>
      </c>
      <c r="U273" s="1577">
        <f t="shared" si="130"/>
        <v>18112070</v>
      </c>
      <c r="V273" s="1577">
        <f t="shared" si="130"/>
        <v>85392388</v>
      </c>
      <c r="W273" s="1577">
        <f t="shared" si="130"/>
        <v>0</v>
      </c>
      <c r="X273" s="1577">
        <f>SUM(X251:X272)/2</f>
        <v>0</v>
      </c>
      <c r="Y273" s="1440">
        <f>Y252</f>
        <v>69044250</v>
      </c>
      <c r="Z273" s="1440">
        <f>Z252</f>
        <v>54722026</v>
      </c>
      <c r="AA273" s="1442">
        <f>AA252</f>
        <v>14322224</v>
      </c>
      <c r="AB273" s="1436">
        <f>SUM(AB251:AB272)/2</f>
        <v>69044250</v>
      </c>
      <c r="AC273" s="1437">
        <f>SUM(AC251:AC272)/2</f>
        <v>0</v>
      </c>
      <c r="AD273" s="1439">
        <f>SUM(AD251:AD272)/2</f>
        <v>0</v>
      </c>
    </row>
    <row r="274" spans="1:30" s="293" customFormat="1" ht="10.5" customHeight="1">
      <c r="A274" s="1385"/>
      <c r="B274" s="1343"/>
      <c r="C274" s="1539"/>
      <c r="D274" s="1539"/>
      <c r="E274" s="1539"/>
      <c r="F274" s="1539"/>
      <c r="G274" s="1539"/>
      <c r="H274" s="1539"/>
      <c r="I274" s="1348"/>
      <c r="J274" s="1463"/>
      <c r="K274" s="1465"/>
      <c r="L274" s="1464"/>
      <c r="M274" s="1464"/>
      <c r="N274" s="1465"/>
      <c r="O274" s="1589"/>
      <c r="P274" s="451"/>
      <c r="Q274" s="451"/>
      <c r="R274" s="451"/>
      <c r="S274" s="1351"/>
      <c r="T274" s="1490"/>
      <c r="U274" s="1492"/>
      <c r="V274" s="451"/>
      <c r="W274" s="451"/>
      <c r="X274" s="660"/>
      <c r="Y274" s="1348"/>
      <c r="Z274" s="1463"/>
      <c r="AA274" s="1465"/>
      <c r="AB274" s="1137"/>
      <c r="AC274" s="1137"/>
      <c r="AD274" s="1347"/>
    </row>
    <row r="275" spans="1:30" s="293" customFormat="1" ht="15" customHeight="1">
      <c r="A275" s="1328" t="s">
        <v>1055</v>
      </c>
      <c r="B275" s="1590"/>
      <c r="C275" s="1591">
        <f t="shared" ref="C275:I275" si="131">SUM(C276:C367)</f>
        <v>1536739000</v>
      </c>
      <c r="D275" s="1591">
        <f t="shared" si="131"/>
        <v>1213219000</v>
      </c>
      <c r="E275" s="1591">
        <f t="shared" si="131"/>
        <v>323520000</v>
      </c>
      <c r="F275" s="1591">
        <f t="shared" si="131"/>
        <v>1536739000</v>
      </c>
      <c r="G275" s="1591">
        <f t="shared" si="131"/>
        <v>0</v>
      </c>
      <c r="H275" s="1591">
        <f t="shared" si="131"/>
        <v>0</v>
      </c>
      <c r="I275" s="1334">
        <f t="shared" si="131"/>
        <v>1677784330</v>
      </c>
      <c r="J275" s="1334">
        <f>SUM(J276:J361)</f>
        <v>1328530260</v>
      </c>
      <c r="K275" s="1333">
        <f t="shared" ref="K275:R275" si="132">SUM(K276:K367)</f>
        <v>349254070</v>
      </c>
      <c r="L275" s="1335">
        <f t="shared" si="132"/>
        <v>1677784330</v>
      </c>
      <c r="M275" s="1335">
        <f t="shared" si="132"/>
        <v>0</v>
      </c>
      <c r="N275" s="1333">
        <f t="shared" si="132"/>
        <v>0</v>
      </c>
      <c r="O275" s="1554">
        <f t="shared" si="132"/>
        <v>50991069</v>
      </c>
      <c r="P275" s="1337">
        <f t="shared" si="132"/>
        <v>50991069</v>
      </c>
      <c r="Q275" s="1337">
        <f t="shared" si="132"/>
        <v>0</v>
      </c>
      <c r="R275" s="1337">
        <f t="shared" si="132"/>
        <v>0</v>
      </c>
      <c r="S275" s="1339">
        <f>SUM(S276:S375)</f>
        <v>1494535217</v>
      </c>
      <c r="T275" s="1339">
        <f>SUM(T276:T375)</f>
        <v>1399051695</v>
      </c>
      <c r="U275" s="1340">
        <f>SUM(U276:U375)</f>
        <v>223379298</v>
      </c>
      <c r="V275" s="1341">
        <f>SUM(V276:V375)</f>
        <v>1490535217</v>
      </c>
      <c r="W275" s="1341">
        <f>SUM(W276:W367)</f>
        <v>0</v>
      </c>
      <c r="X275" s="1340">
        <f>SUM(X276:X367)</f>
        <v>0</v>
      </c>
      <c r="Y275" s="1334">
        <f>Z275+AA275</f>
        <v>648753786</v>
      </c>
      <c r="Z275" s="1334">
        <f>Z277+Z278+Z279+Z283+Z284+Z285+Z288+Z289+Z290+Z291+Z292+Z293+Z294+Z295+Z296+Z297+Z298+Z299+Z300+Z301+Z302+Z304+Z305+Z306+Z307+Z308+Z310+Z311+Z312+Z313+Z314+Z315+Z318+Z319+Z323+Z325+Z327+Z328+Z329+Z331+Z332+Z336+Z339+Z368+Z369+Z371+Z372+Z373+Z374</f>
        <v>559485888</v>
      </c>
      <c r="AA275" s="1334">
        <f>AA277+AA278+AA279+AA283+AA284+AA285+AA288+AA289+AA290+AA291+AA292+AA293+AA294+AA295+AA296+AA297+AA298+AA299+AA300+AA301+AA302+AA304+AA305+AA306+AA307+AA308+AA310+AA311+AA312+AA313+AA314+AA315+AA318+AA319+AA323+AA325+AA327+AA328+AA329+AA331+AA332+AA336+AA339+AA368+AA369+AA371+AA372+AA373+AA374</f>
        <v>89267898</v>
      </c>
      <c r="AB275" s="1334">
        <f>AB277+AB278+AB279+AB283+AB284+AB285+AB288+AB289+AB290+AB291+AB292+AB293+AB294+AB295+AB296+AB297+AB298+AB299+AB300+AB301+AB302+AB304+AB305+AB306+AB307+AB308+AB310+AB311+AB312+AB313+AB314+AB315+AB318+AB319+AB323+AB325+AB327+AB328+AB329+AB331+AB332+AB336+AB339+AB368+AB369+AB371+AB372+AB373+AB374</f>
        <v>648753786</v>
      </c>
      <c r="AC275" s="1335">
        <f>AC276+AC278+AC288+AC291+AC295+AC297+AC298+AC300+AC301+AC305+AC307+AC308+AC311+AC312+AC314+AC318+AC323+AC324+AC336</f>
        <v>0</v>
      </c>
      <c r="AD275" s="1333">
        <f>AD276+AD278+AD288+AD291+AD295+AD297+AD298+AD300+AD301+AD305+AD307+AD308+AD311+AD312+AD314+AD318+AD323+AD324+AD336</f>
        <v>0</v>
      </c>
    </row>
    <row r="276" spans="1:30" s="293" customFormat="1" ht="14.25" customHeight="1">
      <c r="A276" s="1479">
        <v>61001</v>
      </c>
      <c r="B276" s="1343" t="s">
        <v>1257</v>
      </c>
      <c r="C276" s="1334">
        <v>6350000</v>
      </c>
      <c r="D276" s="1334">
        <v>5000000</v>
      </c>
      <c r="E276" s="1334">
        <v>1350000</v>
      </c>
      <c r="F276" s="1539">
        <v>6350000</v>
      </c>
      <c r="G276" s="1539"/>
      <c r="H276" s="1539"/>
      <c r="I276" s="1348">
        <f t="shared" ref="I276:I306" si="133">SUM(L276:N276)</f>
        <v>254000</v>
      </c>
      <c r="J276" s="1348">
        <f>SUM(I276)/1.27</f>
        <v>200000</v>
      </c>
      <c r="K276" s="1347">
        <f>SUM(J276)*0.27</f>
        <v>54000</v>
      </c>
      <c r="L276" s="1137">
        <v>254000</v>
      </c>
      <c r="M276" s="1137"/>
      <c r="N276" s="1347"/>
      <c r="O276" s="1592">
        <f t="shared" ref="O276:O306" si="134">SUM(P276:R276)</f>
        <v>0</v>
      </c>
      <c r="P276" s="1252"/>
      <c r="Q276" s="1252"/>
      <c r="R276" s="1252"/>
      <c r="S276" s="1351">
        <f t="shared" ref="S276:S307" si="135">SUM(V276:X276)</f>
        <v>254000</v>
      </c>
      <c r="T276" s="1351">
        <f>SUM(S276)/1.27</f>
        <v>200000</v>
      </c>
      <c r="U276" s="660">
        <f>SUM(T276)*0.27</f>
        <v>54000</v>
      </c>
      <c r="V276" s="451">
        <f t="shared" ref="V276:X277" si="136">SUM(L276+P276)</f>
        <v>254000</v>
      </c>
      <c r="W276" s="451">
        <f t="shared" si="136"/>
        <v>0</v>
      </c>
      <c r="X276" s="660">
        <f t="shared" si="136"/>
        <v>0</v>
      </c>
      <c r="Y276" s="1348">
        <f t="shared" ref="Y276:Y293" si="137">Z276+AA276</f>
        <v>0</v>
      </c>
      <c r="Z276" s="1348"/>
      <c r="AA276" s="1347"/>
      <c r="AB276" s="1137"/>
      <c r="AC276" s="1137"/>
      <c r="AD276" s="1347"/>
    </row>
    <row r="277" spans="1:30" s="293" customFormat="1" ht="14.25" customHeight="1">
      <c r="A277" s="1479">
        <v>61002</v>
      </c>
      <c r="B277" s="1343" t="s">
        <v>1258</v>
      </c>
      <c r="C277" s="1348">
        <v>7620000</v>
      </c>
      <c r="D277" s="1348">
        <v>6000000</v>
      </c>
      <c r="E277" s="1347">
        <v>1620000</v>
      </c>
      <c r="F277" s="1539">
        <v>7620000</v>
      </c>
      <c r="G277" s="1539"/>
      <c r="H277" s="1539"/>
      <c r="I277" s="1348">
        <f t="shared" si="133"/>
        <v>6350000</v>
      </c>
      <c r="J277" s="1348">
        <f>SUM(I277)/1.27</f>
        <v>5000000</v>
      </c>
      <c r="K277" s="1347">
        <f>SUM(J277)*0.27</f>
        <v>1350000</v>
      </c>
      <c r="L277" s="1137">
        <v>6350000</v>
      </c>
      <c r="M277" s="1137"/>
      <c r="N277" s="1347"/>
      <c r="O277" s="1592">
        <f t="shared" si="134"/>
        <v>368300</v>
      </c>
      <c r="P277" s="1252">
        <v>368300</v>
      </c>
      <c r="Q277" s="1252"/>
      <c r="R277" s="1252"/>
      <c r="S277" s="1351">
        <f t="shared" si="135"/>
        <v>6718300</v>
      </c>
      <c r="T277" s="1351">
        <f>SUM(S277)/1.27</f>
        <v>5290000</v>
      </c>
      <c r="U277" s="660">
        <f>SUM(T277)*0.27</f>
        <v>1428300</v>
      </c>
      <c r="V277" s="451">
        <f t="shared" si="136"/>
        <v>6718300</v>
      </c>
      <c r="W277" s="451">
        <f t="shared" si="136"/>
        <v>0</v>
      </c>
      <c r="X277" s="660">
        <f t="shared" si="136"/>
        <v>0</v>
      </c>
      <c r="Y277" s="1348">
        <f t="shared" si="137"/>
        <v>2687320</v>
      </c>
      <c r="Z277" s="1348">
        <v>2116000</v>
      </c>
      <c r="AA277" s="1347">
        <v>571320</v>
      </c>
      <c r="AB277" s="1137">
        <v>2687320</v>
      </c>
      <c r="AC277" s="1137"/>
      <c r="AD277" s="1347"/>
    </row>
    <row r="278" spans="1:30" s="293" customFormat="1" ht="14.25" customHeight="1">
      <c r="A278" s="1479">
        <v>61003</v>
      </c>
      <c r="B278" s="1343" t="s">
        <v>1259</v>
      </c>
      <c r="C278" s="1348">
        <v>8890000</v>
      </c>
      <c r="D278" s="1348">
        <v>7000000</v>
      </c>
      <c r="E278" s="1347">
        <v>1890000</v>
      </c>
      <c r="F278" s="1539">
        <v>8890000</v>
      </c>
      <c r="G278" s="1539"/>
      <c r="H278" s="1539"/>
      <c r="I278" s="1348">
        <f t="shared" si="133"/>
        <v>7620000</v>
      </c>
      <c r="J278" s="1348">
        <f>SUM(I278)/1.27</f>
        <v>6000000</v>
      </c>
      <c r="K278" s="1347">
        <f>SUM(J278)*0.27</f>
        <v>1620000</v>
      </c>
      <c r="L278" s="1137">
        <v>7620000</v>
      </c>
      <c r="M278" s="1137"/>
      <c r="N278" s="1347"/>
      <c r="O278" s="1592">
        <f t="shared" si="134"/>
        <v>0</v>
      </c>
      <c r="P278" s="1252"/>
      <c r="Q278" s="1252"/>
      <c r="R278" s="1252"/>
      <c r="S278" s="1351">
        <f t="shared" si="135"/>
        <v>5943600</v>
      </c>
      <c r="T278" s="1351">
        <f>SUM(S278)/1.27</f>
        <v>4680000</v>
      </c>
      <c r="U278" s="660">
        <f>SUM(T278)*0.27</f>
        <v>1263600</v>
      </c>
      <c r="V278" s="451">
        <v>5943600</v>
      </c>
      <c r="W278" s="451">
        <f t="shared" ref="W278:W309" si="138">SUM(M278+Q278)</f>
        <v>0</v>
      </c>
      <c r="X278" s="660">
        <f t="shared" ref="X278:X309" si="139">SUM(N278+R278)</f>
        <v>0</v>
      </c>
      <c r="Y278" s="1348">
        <f t="shared" si="137"/>
        <v>3429000</v>
      </c>
      <c r="Z278" s="1348">
        <v>2700000</v>
      </c>
      <c r="AA278" s="1347">
        <v>729000</v>
      </c>
      <c r="AB278" s="1137">
        <v>3429000</v>
      </c>
      <c r="AC278" s="1137"/>
      <c r="AD278" s="1347"/>
    </row>
    <row r="279" spans="1:30" s="293" customFormat="1" ht="14.25" customHeight="1">
      <c r="A279" s="1479">
        <v>61004</v>
      </c>
      <c r="B279" s="1343" t="s">
        <v>1260</v>
      </c>
      <c r="C279" s="1348"/>
      <c r="D279" s="1348"/>
      <c r="E279" s="1347"/>
      <c r="F279" s="1593"/>
      <c r="G279" s="1539"/>
      <c r="H279" s="1539"/>
      <c r="I279" s="1348">
        <f t="shared" si="133"/>
        <v>8890000</v>
      </c>
      <c r="J279" s="1348">
        <f>SUM(I279)/1.27</f>
        <v>7000000</v>
      </c>
      <c r="K279" s="1347">
        <f>SUM(J279)*0.27</f>
        <v>1890000</v>
      </c>
      <c r="L279" s="1137">
        <v>8890000</v>
      </c>
      <c r="M279" s="1137"/>
      <c r="N279" s="1347"/>
      <c r="O279" s="1592">
        <f t="shared" si="134"/>
        <v>0</v>
      </c>
      <c r="P279" s="1252"/>
      <c r="Q279" s="1252"/>
      <c r="R279" s="1252"/>
      <c r="S279" s="1351">
        <f t="shared" si="135"/>
        <v>9256240</v>
      </c>
      <c r="T279" s="1351">
        <f>SUM(S279)/1.27</f>
        <v>7288378</v>
      </c>
      <c r="U279" s="660">
        <f>SUM(T279)*0.27</f>
        <v>1967862</v>
      </c>
      <c r="V279" s="451">
        <v>9256240</v>
      </c>
      <c r="W279" s="451">
        <f t="shared" si="138"/>
        <v>0</v>
      </c>
      <c r="X279" s="660">
        <f t="shared" si="139"/>
        <v>0</v>
      </c>
      <c r="Y279" s="1348">
        <f t="shared" si="137"/>
        <v>9053040</v>
      </c>
      <c r="Z279" s="1348">
        <v>7128378</v>
      </c>
      <c r="AA279" s="1347">
        <v>1924662</v>
      </c>
      <c r="AB279" s="1137">
        <v>9053040</v>
      </c>
      <c r="AC279" s="1137"/>
      <c r="AD279" s="1347"/>
    </row>
    <row r="280" spans="1:30" s="293" customFormat="1" ht="14.25" customHeight="1">
      <c r="A280" s="1479">
        <v>61005</v>
      </c>
      <c r="B280" s="1343" t="s">
        <v>1261</v>
      </c>
      <c r="C280" s="1348">
        <v>15000000</v>
      </c>
      <c r="D280" s="1348">
        <v>15000000</v>
      </c>
      <c r="E280" s="1347">
        <v>0</v>
      </c>
      <c r="F280" s="1539">
        <v>15000000</v>
      </c>
      <c r="G280" s="1539"/>
      <c r="H280" s="1539"/>
      <c r="I280" s="1348">
        <f t="shared" si="133"/>
        <v>35000000</v>
      </c>
      <c r="J280" s="1348">
        <f>SUM(I280)/1</f>
        <v>35000000</v>
      </c>
      <c r="K280" s="1347">
        <f>SUM(J280)*0</f>
        <v>0</v>
      </c>
      <c r="L280" s="1137">
        <v>35000000</v>
      </c>
      <c r="M280" s="1137"/>
      <c r="N280" s="1347"/>
      <c r="O280" s="1592">
        <f t="shared" si="134"/>
        <v>0</v>
      </c>
      <c r="P280" s="1252"/>
      <c r="Q280" s="1252"/>
      <c r="R280" s="1252"/>
      <c r="S280" s="1351">
        <f t="shared" si="135"/>
        <v>35000000</v>
      </c>
      <c r="T280" s="1351">
        <v>35000000</v>
      </c>
      <c r="U280" s="660">
        <f>SUM(T280)*0</f>
        <v>0</v>
      </c>
      <c r="V280" s="451">
        <f>SUM(L280+P280)</f>
        <v>35000000</v>
      </c>
      <c r="W280" s="451">
        <f t="shared" si="138"/>
        <v>0</v>
      </c>
      <c r="X280" s="660">
        <f t="shared" si="139"/>
        <v>0</v>
      </c>
      <c r="Y280" s="1348">
        <f t="shared" si="137"/>
        <v>0</v>
      </c>
      <c r="Z280" s="1348"/>
      <c r="AA280" s="1347"/>
      <c r="AB280" s="1137"/>
      <c r="AC280" s="1137"/>
      <c r="AD280" s="1347"/>
    </row>
    <row r="281" spans="1:30" s="293" customFormat="1" ht="14.25" customHeight="1">
      <c r="A281" s="1479">
        <v>61006</v>
      </c>
      <c r="B281" s="1343" t="s">
        <v>1262</v>
      </c>
      <c r="C281" s="1348">
        <v>7620000</v>
      </c>
      <c r="D281" s="1348">
        <v>6000000</v>
      </c>
      <c r="E281" s="1347">
        <v>1620000</v>
      </c>
      <c r="F281" s="1539">
        <v>7620000</v>
      </c>
      <c r="G281" s="1539"/>
      <c r="H281" s="1539"/>
      <c r="I281" s="1348">
        <f t="shared" si="133"/>
        <v>7620000</v>
      </c>
      <c r="J281" s="1348">
        <f t="shared" ref="J281:J302" si="140">SUM(I281)/1.27</f>
        <v>6000000</v>
      </c>
      <c r="K281" s="1347">
        <f t="shared" ref="K281:K302" si="141">SUM(J281)*0.27</f>
        <v>1620000</v>
      </c>
      <c r="L281" s="1137">
        <v>7620000</v>
      </c>
      <c r="M281" s="1137"/>
      <c r="N281" s="1347"/>
      <c r="O281" s="1592">
        <f t="shared" si="134"/>
        <v>0</v>
      </c>
      <c r="P281" s="1252"/>
      <c r="Q281" s="1252"/>
      <c r="R281" s="1252"/>
      <c r="S281" s="1351">
        <f t="shared" si="135"/>
        <v>0</v>
      </c>
      <c r="T281" s="1351">
        <f t="shared" ref="T281:T286" si="142">SUM(S281)/1.27</f>
        <v>0</v>
      </c>
      <c r="U281" s="660">
        <f t="shared" ref="U281:U286" si="143">SUM(T281)*0.27</f>
        <v>0</v>
      </c>
      <c r="V281" s="451">
        <v>0</v>
      </c>
      <c r="W281" s="451">
        <f t="shared" si="138"/>
        <v>0</v>
      </c>
      <c r="X281" s="660">
        <f t="shared" si="139"/>
        <v>0</v>
      </c>
      <c r="Y281" s="1348">
        <f t="shared" si="137"/>
        <v>0</v>
      </c>
      <c r="Z281" s="1348"/>
      <c r="AA281" s="1347"/>
      <c r="AB281" s="1137"/>
      <c r="AC281" s="1137"/>
      <c r="AD281" s="1347"/>
    </row>
    <row r="282" spans="1:30" s="293" customFormat="1" ht="14.25" customHeight="1">
      <c r="A282" s="1479">
        <v>61007</v>
      </c>
      <c r="B282" s="1343" t="s">
        <v>1263</v>
      </c>
      <c r="C282" s="1348">
        <v>3810000</v>
      </c>
      <c r="D282" s="1348">
        <v>3000000</v>
      </c>
      <c r="E282" s="1347">
        <v>810000</v>
      </c>
      <c r="F282" s="1539">
        <v>3810000</v>
      </c>
      <c r="G282" s="1539"/>
      <c r="H282" s="1539"/>
      <c r="I282" s="1348">
        <f t="shared" si="133"/>
        <v>3810000</v>
      </c>
      <c r="J282" s="1348">
        <f t="shared" si="140"/>
        <v>3000000</v>
      </c>
      <c r="K282" s="1347">
        <f t="shared" si="141"/>
        <v>810000</v>
      </c>
      <c r="L282" s="1137">
        <v>3810000</v>
      </c>
      <c r="M282" s="1137"/>
      <c r="N282" s="1347"/>
      <c r="O282" s="1592">
        <f t="shared" si="134"/>
        <v>0</v>
      </c>
      <c r="P282" s="1252"/>
      <c r="Q282" s="1252"/>
      <c r="R282" s="1252"/>
      <c r="S282" s="1351">
        <f t="shared" si="135"/>
        <v>0</v>
      </c>
      <c r="T282" s="1351">
        <f t="shared" si="142"/>
        <v>0</v>
      </c>
      <c r="U282" s="660">
        <f t="shared" si="143"/>
        <v>0</v>
      </c>
      <c r="V282" s="451">
        <v>0</v>
      </c>
      <c r="W282" s="451">
        <f t="shared" si="138"/>
        <v>0</v>
      </c>
      <c r="X282" s="660">
        <f t="shared" si="139"/>
        <v>0</v>
      </c>
      <c r="Y282" s="1348">
        <f t="shared" si="137"/>
        <v>0</v>
      </c>
      <c r="Z282" s="1348"/>
      <c r="AA282" s="1347"/>
      <c r="AB282" s="1137"/>
      <c r="AC282" s="1137"/>
      <c r="AD282" s="1347"/>
    </row>
    <row r="283" spans="1:30" s="293" customFormat="1" ht="14.25" customHeight="1">
      <c r="A283" s="1479">
        <v>61008</v>
      </c>
      <c r="B283" s="1343" t="s">
        <v>1264</v>
      </c>
      <c r="C283" s="1348">
        <v>6350000</v>
      </c>
      <c r="D283" s="1348">
        <v>5000000</v>
      </c>
      <c r="E283" s="1347">
        <v>1350000</v>
      </c>
      <c r="F283" s="1539">
        <v>6350000</v>
      </c>
      <c r="G283" s="1539"/>
      <c r="H283" s="1539"/>
      <c r="I283" s="1348">
        <f t="shared" si="133"/>
        <v>6350000</v>
      </c>
      <c r="J283" s="1348">
        <f t="shared" si="140"/>
        <v>5000000</v>
      </c>
      <c r="K283" s="1347">
        <f t="shared" si="141"/>
        <v>1350000</v>
      </c>
      <c r="L283" s="1137">
        <v>6350000</v>
      </c>
      <c r="M283" s="1137"/>
      <c r="N283" s="1347"/>
      <c r="O283" s="1592">
        <f t="shared" si="134"/>
        <v>0</v>
      </c>
      <c r="P283" s="1252"/>
      <c r="Q283" s="1252"/>
      <c r="R283" s="1252"/>
      <c r="S283" s="1351">
        <f t="shared" si="135"/>
        <v>6350000</v>
      </c>
      <c r="T283" s="1351">
        <f t="shared" si="142"/>
        <v>5000000</v>
      </c>
      <c r="U283" s="660">
        <f t="shared" si="143"/>
        <v>1350000</v>
      </c>
      <c r="V283" s="451">
        <f>SUM(L283+P283)</f>
        <v>6350000</v>
      </c>
      <c r="W283" s="451">
        <f t="shared" si="138"/>
        <v>0</v>
      </c>
      <c r="X283" s="660">
        <f t="shared" si="139"/>
        <v>0</v>
      </c>
      <c r="Y283" s="1348">
        <f t="shared" si="137"/>
        <v>4083050</v>
      </c>
      <c r="Z283" s="1348">
        <v>3215000</v>
      </c>
      <c r="AA283" s="1347">
        <v>868050</v>
      </c>
      <c r="AB283" s="1137">
        <v>4083050</v>
      </c>
      <c r="AC283" s="1137"/>
      <c r="AD283" s="1347"/>
    </row>
    <row r="284" spans="1:30" s="293" customFormat="1" ht="14.25" customHeight="1">
      <c r="A284" s="1479">
        <v>61009</v>
      </c>
      <c r="B284" s="1343" t="s">
        <v>1265</v>
      </c>
      <c r="C284" s="1348">
        <v>1270000</v>
      </c>
      <c r="D284" s="1348">
        <v>1000000</v>
      </c>
      <c r="E284" s="1347">
        <v>270000</v>
      </c>
      <c r="F284" s="1539">
        <v>1270000</v>
      </c>
      <c r="G284" s="1539"/>
      <c r="H284" s="1539"/>
      <c r="I284" s="1348">
        <f t="shared" si="133"/>
        <v>1270000</v>
      </c>
      <c r="J284" s="1348">
        <f t="shared" si="140"/>
        <v>1000000</v>
      </c>
      <c r="K284" s="1347">
        <f t="shared" si="141"/>
        <v>270000</v>
      </c>
      <c r="L284" s="1137">
        <v>1270000</v>
      </c>
      <c r="M284" s="1137"/>
      <c r="N284" s="1347"/>
      <c r="O284" s="1592">
        <f t="shared" si="134"/>
        <v>0</v>
      </c>
      <c r="P284" s="1252"/>
      <c r="Q284" s="1252"/>
      <c r="R284" s="1252"/>
      <c r="S284" s="1351">
        <f t="shared" si="135"/>
        <v>5715000</v>
      </c>
      <c r="T284" s="1351">
        <f t="shared" si="142"/>
        <v>4500000</v>
      </c>
      <c r="U284" s="660">
        <f t="shared" si="143"/>
        <v>1215000</v>
      </c>
      <c r="V284" s="451">
        <v>5715000</v>
      </c>
      <c r="W284" s="451">
        <f t="shared" si="138"/>
        <v>0</v>
      </c>
      <c r="X284" s="660">
        <f t="shared" si="139"/>
        <v>0</v>
      </c>
      <c r="Y284" s="1348">
        <f t="shared" si="137"/>
        <v>5715000</v>
      </c>
      <c r="Z284" s="1348">
        <v>4500000</v>
      </c>
      <c r="AA284" s="1347">
        <v>1215000</v>
      </c>
      <c r="AB284" s="1137">
        <v>5715000</v>
      </c>
      <c r="AC284" s="1137"/>
      <c r="AD284" s="1347"/>
    </row>
    <row r="285" spans="1:30" s="293" customFormat="1" ht="14.25" customHeight="1">
      <c r="A285" s="1479">
        <v>61010</v>
      </c>
      <c r="B285" s="1343" t="s">
        <v>1266</v>
      </c>
      <c r="C285" s="1348">
        <v>1270000</v>
      </c>
      <c r="D285" s="1348">
        <v>1000000</v>
      </c>
      <c r="E285" s="1347">
        <v>270000</v>
      </c>
      <c r="F285" s="1539">
        <v>1270000</v>
      </c>
      <c r="G285" s="1539"/>
      <c r="H285" s="1539"/>
      <c r="I285" s="1348">
        <f t="shared" si="133"/>
        <v>1270000</v>
      </c>
      <c r="J285" s="1348">
        <f t="shared" si="140"/>
        <v>1000000</v>
      </c>
      <c r="K285" s="1347">
        <f t="shared" si="141"/>
        <v>270000</v>
      </c>
      <c r="L285" s="1137">
        <v>1270000</v>
      </c>
      <c r="M285" s="1137"/>
      <c r="N285" s="1347"/>
      <c r="O285" s="1592">
        <f t="shared" si="134"/>
        <v>0</v>
      </c>
      <c r="P285" s="1252"/>
      <c r="Q285" s="1252"/>
      <c r="R285" s="1252"/>
      <c r="S285" s="1351">
        <f t="shared" si="135"/>
        <v>1270000</v>
      </c>
      <c r="T285" s="1351">
        <f t="shared" si="142"/>
        <v>1000000</v>
      </c>
      <c r="U285" s="660">
        <f t="shared" si="143"/>
        <v>270000</v>
      </c>
      <c r="V285" s="451">
        <f>SUM(L285+P285)</f>
        <v>1270000</v>
      </c>
      <c r="W285" s="451">
        <f t="shared" si="138"/>
        <v>0</v>
      </c>
      <c r="X285" s="660">
        <f t="shared" si="139"/>
        <v>0</v>
      </c>
      <c r="Y285" s="1348">
        <f t="shared" si="137"/>
        <v>1089660</v>
      </c>
      <c r="Z285" s="1348">
        <v>858000</v>
      </c>
      <c r="AA285" s="1347">
        <v>231660</v>
      </c>
      <c r="AB285" s="1137">
        <v>1089660</v>
      </c>
      <c r="AC285" s="1137"/>
      <c r="AD285" s="1347"/>
    </row>
    <row r="286" spans="1:30" s="293" customFormat="1" ht="14.25" customHeight="1">
      <c r="A286" s="1479">
        <v>61011</v>
      </c>
      <c r="B286" s="1343" t="s">
        <v>1267</v>
      </c>
      <c r="C286" s="1348">
        <v>1270000</v>
      </c>
      <c r="D286" s="1348">
        <v>1000000</v>
      </c>
      <c r="E286" s="1347">
        <v>270000</v>
      </c>
      <c r="F286" s="1539">
        <v>1270000</v>
      </c>
      <c r="G286" s="1539"/>
      <c r="H286" s="1539"/>
      <c r="I286" s="1348">
        <f t="shared" si="133"/>
        <v>1270000</v>
      </c>
      <c r="J286" s="1348">
        <f t="shared" si="140"/>
        <v>1000000</v>
      </c>
      <c r="K286" s="1347">
        <f t="shared" si="141"/>
        <v>270000</v>
      </c>
      <c r="L286" s="1137">
        <v>1270000</v>
      </c>
      <c r="M286" s="1137"/>
      <c r="N286" s="1347"/>
      <c r="O286" s="1592">
        <f t="shared" si="134"/>
        <v>0</v>
      </c>
      <c r="P286" s="1252"/>
      <c r="Q286" s="1252"/>
      <c r="R286" s="1252"/>
      <c r="S286" s="1351">
        <f t="shared" si="135"/>
        <v>1270000</v>
      </c>
      <c r="T286" s="1351">
        <f t="shared" si="142"/>
        <v>1000000</v>
      </c>
      <c r="U286" s="660">
        <f t="shared" si="143"/>
        <v>270000</v>
      </c>
      <c r="V286" s="451">
        <f>SUM(L286+P286)</f>
        <v>1270000</v>
      </c>
      <c r="W286" s="451">
        <f t="shared" si="138"/>
        <v>0</v>
      </c>
      <c r="X286" s="660">
        <f t="shared" si="139"/>
        <v>0</v>
      </c>
      <c r="Y286" s="1348">
        <f t="shared" si="137"/>
        <v>0</v>
      </c>
      <c r="Z286" s="1348"/>
      <c r="AA286" s="1347"/>
      <c r="AB286" s="1137"/>
      <c r="AC286" s="1137"/>
      <c r="AD286" s="1347"/>
    </row>
    <row r="287" spans="1:30" s="293" customFormat="1" ht="14.25" customHeight="1">
      <c r="A287" s="1479">
        <v>61012</v>
      </c>
      <c r="B287" s="1343" t="s">
        <v>1268</v>
      </c>
      <c r="C287" s="1348">
        <v>10160000</v>
      </c>
      <c r="D287" s="1348">
        <v>8000000</v>
      </c>
      <c r="E287" s="1347">
        <v>2160000</v>
      </c>
      <c r="F287" s="1539">
        <v>10160000</v>
      </c>
      <c r="G287" s="1539"/>
      <c r="H287" s="1539"/>
      <c r="I287" s="1348">
        <f t="shared" si="133"/>
        <v>9194800</v>
      </c>
      <c r="J287" s="1351">
        <f t="shared" si="140"/>
        <v>7240000</v>
      </c>
      <c r="K287" s="1347">
        <f t="shared" si="141"/>
        <v>1954800</v>
      </c>
      <c r="L287" s="1137">
        <v>9194800</v>
      </c>
      <c r="M287" s="1137"/>
      <c r="N287" s="1347"/>
      <c r="O287" s="1592">
        <f t="shared" si="134"/>
        <v>-3599732</v>
      </c>
      <c r="P287" s="1252">
        <v>-3599732</v>
      </c>
      <c r="Q287" s="1252"/>
      <c r="R287" s="1252"/>
      <c r="S287" s="1351">
        <f t="shared" si="135"/>
        <v>4405565</v>
      </c>
      <c r="T287" s="1351">
        <f>SUM(S287)</f>
        <v>4405565</v>
      </c>
      <c r="U287" s="660">
        <v>0</v>
      </c>
      <c r="V287" s="451">
        <v>4405565</v>
      </c>
      <c r="W287" s="451">
        <f t="shared" si="138"/>
        <v>0</v>
      </c>
      <c r="X287" s="660">
        <f t="shared" si="139"/>
        <v>0</v>
      </c>
      <c r="Y287" s="1348">
        <f t="shared" si="137"/>
        <v>0</v>
      </c>
      <c r="Z287" s="1348"/>
      <c r="AA287" s="1347"/>
      <c r="AB287" s="1137"/>
      <c r="AC287" s="1137"/>
      <c r="AD287" s="1347"/>
    </row>
    <row r="288" spans="1:30" s="293" customFormat="1" ht="14.25" customHeight="1">
      <c r="A288" s="1479">
        <v>61013</v>
      </c>
      <c r="B288" s="1343" t="s">
        <v>1269</v>
      </c>
      <c r="C288" s="1348">
        <v>12700000</v>
      </c>
      <c r="D288" s="1348">
        <v>10000000</v>
      </c>
      <c r="E288" s="1347">
        <v>2700000</v>
      </c>
      <c r="F288" s="1539">
        <v>12700000</v>
      </c>
      <c r="G288" s="1539"/>
      <c r="H288" s="1539"/>
      <c r="I288" s="1348">
        <f t="shared" si="133"/>
        <v>12700000</v>
      </c>
      <c r="J288" s="1351">
        <f t="shared" si="140"/>
        <v>10000000</v>
      </c>
      <c r="K288" s="1347">
        <f t="shared" si="141"/>
        <v>2700000</v>
      </c>
      <c r="L288" s="1137">
        <v>12700000</v>
      </c>
      <c r="M288" s="1137"/>
      <c r="N288" s="1347"/>
      <c r="O288" s="1592">
        <f t="shared" si="134"/>
        <v>0</v>
      </c>
      <c r="P288" s="1252"/>
      <c r="Q288" s="1252"/>
      <c r="R288" s="1252"/>
      <c r="S288" s="1351">
        <f t="shared" si="135"/>
        <v>12700000</v>
      </c>
      <c r="T288" s="1351">
        <f>SUM(S288)/1.27</f>
        <v>10000000</v>
      </c>
      <c r="U288" s="660">
        <f>SUM(T288)*0.27</f>
        <v>2700000</v>
      </c>
      <c r="V288" s="451">
        <f>SUM(L288+P288)</f>
        <v>12700000</v>
      </c>
      <c r="W288" s="451">
        <f t="shared" si="138"/>
        <v>0</v>
      </c>
      <c r="X288" s="660">
        <f t="shared" si="139"/>
        <v>0</v>
      </c>
      <c r="Y288" s="1348">
        <f t="shared" si="137"/>
        <v>12700000</v>
      </c>
      <c r="Z288" s="1348">
        <v>10000000</v>
      </c>
      <c r="AA288" s="1347">
        <v>2700000</v>
      </c>
      <c r="AB288" s="1137">
        <v>12700000</v>
      </c>
      <c r="AC288" s="1137"/>
      <c r="AD288" s="1347"/>
    </row>
    <row r="289" spans="1:30" s="293" customFormat="1" ht="14.25" customHeight="1">
      <c r="A289" s="1479">
        <v>61014</v>
      </c>
      <c r="B289" s="1343" t="s">
        <v>1270</v>
      </c>
      <c r="C289" s="1348">
        <v>38100000</v>
      </c>
      <c r="D289" s="1348">
        <v>30000000</v>
      </c>
      <c r="E289" s="1347">
        <v>8100000</v>
      </c>
      <c r="F289" s="1539">
        <v>38100000</v>
      </c>
      <c r="G289" s="1539"/>
      <c r="H289" s="1539"/>
      <c r="I289" s="1348">
        <f t="shared" si="133"/>
        <v>38100000</v>
      </c>
      <c r="J289" s="1351">
        <f t="shared" si="140"/>
        <v>30000000</v>
      </c>
      <c r="K289" s="1347">
        <f t="shared" si="141"/>
        <v>8100000</v>
      </c>
      <c r="L289" s="1137">
        <v>38100000</v>
      </c>
      <c r="M289" s="1137"/>
      <c r="N289" s="1347"/>
      <c r="O289" s="1592">
        <f t="shared" si="134"/>
        <v>0</v>
      </c>
      <c r="P289" s="1252"/>
      <c r="Q289" s="1252"/>
      <c r="R289" s="1252"/>
      <c r="S289" s="1351">
        <f t="shared" si="135"/>
        <v>38100000</v>
      </c>
      <c r="T289" s="1351">
        <f>SUM(S289)/1.27</f>
        <v>30000000</v>
      </c>
      <c r="U289" s="660">
        <f>SUM(T289)*0.27</f>
        <v>8100000</v>
      </c>
      <c r="V289" s="451">
        <f>SUM(L289+P289)</f>
        <v>38100000</v>
      </c>
      <c r="W289" s="451">
        <f t="shared" si="138"/>
        <v>0</v>
      </c>
      <c r="X289" s="660">
        <f t="shared" si="139"/>
        <v>0</v>
      </c>
      <c r="Y289" s="1348">
        <f t="shared" si="137"/>
        <v>38100000</v>
      </c>
      <c r="Z289" s="1348">
        <v>30000000</v>
      </c>
      <c r="AA289" s="1347">
        <v>8100000</v>
      </c>
      <c r="AB289" s="1137">
        <v>38100000</v>
      </c>
      <c r="AC289" s="1137"/>
      <c r="AD289" s="1347"/>
    </row>
    <row r="290" spans="1:30" s="293" customFormat="1" ht="14.25" customHeight="1">
      <c r="A290" s="1479">
        <v>61015</v>
      </c>
      <c r="B290" s="1343" t="s">
        <v>1271</v>
      </c>
      <c r="C290" s="1348">
        <v>50800000</v>
      </c>
      <c r="D290" s="1348">
        <v>40000000</v>
      </c>
      <c r="E290" s="1347">
        <v>10800000</v>
      </c>
      <c r="F290" s="1539">
        <v>50800000</v>
      </c>
      <c r="G290" s="1539"/>
      <c r="H290" s="1539"/>
      <c r="I290" s="1348">
        <f t="shared" si="133"/>
        <v>50800000</v>
      </c>
      <c r="J290" s="1351">
        <f t="shared" si="140"/>
        <v>40000000</v>
      </c>
      <c r="K290" s="1347">
        <f t="shared" si="141"/>
        <v>10800000</v>
      </c>
      <c r="L290" s="1137">
        <v>50800000</v>
      </c>
      <c r="M290" s="1137"/>
      <c r="N290" s="1347"/>
      <c r="O290" s="1592">
        <f t="shared" si="134"/>
        <v>0</v>
      </c>
      <c r="P290" s="1252"/>
      <c r="Q290" s="1252"/>
      <c r="R290" s="1252"/>
      <c r="S290" s="1351">
        <f t="shared" si="135"/>
        <v>42106000</v>
      </c>
      <c r="T290" s="1351">
        <v>40000000</v>
      </c>
      <c r="U290" s="660">
        <v>2106000</v>
      </c>
      <c r="V290" s="451">
        <v>42106000</v>
      </c>
      <c r="W290" s="451">
        <f t="shared" si="138"/>
        <v>0</v>
      </c>
      <c r="X290" s="660">
        <f t="shared" si="139"/>
        <v>0</v>
      </c>
      <c r="Y290" s="1348">
        <f t="shared" si="137"/>
        <v>9906000</v>
      </c>
      <c r="Z290" s="1348">
        <v>7800000</v>
      </c>
      <c r="AA290" s="1347">
        <v>2106000</v>
      </c>
      <c r="AB290" s="1137">
        <v>9906000</v>
      </c>
      <c r="AC290" s="1137"/>
      <c r="AD290" s="1347"/>
    </row>
    <row r="291" spans="1:30" s="293" customFormat="1" ht="14.25" customHeight="1">
      <c r="A291" s="1479">
        <v>61016</v>
      </c>
      <c r="B291" s="1343" t="s">
        <v>1272</v>
      </c>
      <c r="C291" s="1348">
        <v>25400000</v>
      </c>
      <c r="D291" s="1348">
        <v>20000000</v>
      </c>
      <c r="E291" s="1347">
        <v>5400000</v>
      </c>
      <c r="F291" s="1539">
        <v>25400000</v>
      </c>
      <c r="G291" s="1539"/>
      <c r="H291" s="1539"/>
      <c r="I291" s="1348">
        <f t="shared" si="133"/>
        <v>25400000</v>
      </c>
      <c r="J291" s="1351">
        <f t="shared" si="140"/>
        <v>20000000</v>
      </c>
      <c r="K291" s="1347">
        <f t="shared" si="141"/>
        <v>5400000</v>
      </c>
      <c r="L291" s="1137">
        <v>25400000</v>
      </c>
      <c r="M291" s="1137"/>
      <c r="N291" s="1347"/>
      <c r="O291" s="1592">
        <f t="shared" si="134"/>
        <v>0</v>
      </c>
      <c r="P291" s="1252"/>
      <c r="Q291" s="1252"/>
      <c r="R291" s="1252"/>
      <c r="S291" s="1351">
        <f t="shared" si="135"/>
        <v>25400000</v>
      </c>
      <c r="T291" s="1351">
        <f t="shared" ref="T291:T302" si="144">SUM(S291)/1.27</f>
        <v>20000000</v>
      </c>
      <c r="U291" s="660">
        <f t="shared" ref="U291:U302" si="145">SUM(T291)*0.27</f>
        <v>5400000</v>
      </c>
      <c r="V291" s="451">
        <f t="shared" ref="V291:V296" si="146">SUM(L291+P291)</f>
        <v>25400000</v>
      </c>
      <c r="W291" s="451">
        <f t="shared" si="138"/>
        <v>0</v>
      </c>
      <c r="X291" s="660">
        <f t="shared" si="139"/>
        <v>0</v>
      </c>
      <c r="Y291" s="1348">
        <f t="shared" si="137"/>
        <v>25400000</v>
      </c>
      <c r="Z291" s="1348">
        <v>20000000</v>
      </c>
      <c r="AA291" s="1347">
        <v>5400000</v>
      </c>
      <c r="AB291" s="1137">
        <v>25400000</v>
      </c>
      <c r="AC291" s="1137"/>
      <c r="AD291" s="1347"/>
    </row>
    <row r="292" spans="1:30" s="293" customFormat="1" ht="14.25" customHeight="1">
      <c r="A292" s="1479">
        <v>61017</v>
      </c>
      <c r="B292" s="1343" t="s">
        <v>1273</v>
      </c>
      <c r="C292" s="1348">
        <v>6350000</v>
      </c>
      <c r="D292" s="1348">
        <v>5000000</v>
      </c>
      <c r="E292" s="1347">
        <v>1350000</v>
      </c>
      <c r="F292" s="1539">
        <v>6350000</v>
      </c>
      <c r="G292" s="1539"/>
      <c r="H292" s="1539"/>
      <c r="I292" s="1348">
        <f t="shared" si="133"/>
        <v>6350000</v>
      </c>
      <c r="J292" s="1351">
        <f t="shared" si="140"/>
        <v>5000000</v>
      </c>
      <c r="K292" s="1347">
        <f t="shared" si="141"/>
        <v>1350000</v>
      </c>
      <c r="L292" s="1137">
        <v>6350000</v>
      </c>
      <c r="M292" s="1137"/>
      <c r="N292" s="1347"/>
      <c r="O292" s="1592">
        <f t="shared" si="134"/>
        <v>0</v>
      </c>
      <c r="P292" s="1252"/>
      <c r="Q292" s="1252"/>
      <c r="R292" s="1252"/>
      <c r="S292" s="1351">
        <f t="shared" si="135"/>
        <v>6350000</v>
      </c>
      <c r="T292" s="1351">
        <f t="shared" si="144"/>
        <v>5000000</v>
      </c>
      <c r="U292" s="660">
        <f t="shared" si="145"/>
        <v>1350000</v>
      </c>
      <c r="V292" s="451">
        <f t="shared" si="146"/>
        <v>6350000</v>
      </c>
      <c r="W292" s="451">
        <f t="shared" si="138"/>
        <v>0</v>
      </c>
      <c r="X292" s="660">
        <f t="shared" si="139"/>
        <v>0</v>
      </c>
      <c r="Y292" s="1348">
        <f t="shared" si="137"/>
        <v>2623399</v>
      </c>
      <c r="Z292" s="1348">
        <v>2065668</v>
      </c>
      <c r="AA292" s="1347">
        <v>557731</v>
      </c>
      <c r="AB292" s="1137">
        <v>2623399</v>
      </c>
      <c r="AC292" s="1137"/>
      <c r="AD292" s="1347"/>
    </row>
    <row r="293" spans="1:30" s="293" customFormat="1" ht="14.25" customHeight="1">
      <c r="A293" s="1479">
        <v>61018</v>
      </c>
      <c r="B293" s="1343" t="s">
        <v>1274</v>
      </c>
      <c r="C293" s="1348">
        <v>18415000</v>
      </c>
      <c r="D293" s="1348">
        <v>14500000</v>
      </c>
      <c r="E293" s="1347">
        <v>3915000</v>
      </c>
      <c r="F293" s="1539">
        <v>18415000</v>
      </c>
      <c r="G293" s="1539"/>
      <c r="H293" s="1539"/>
      <c r="I293" s="1348">
        <f t="shared" si="133"/>
        <v>18415000</v>
      </c>
      <c r="J293" s="1351">
        <f t="shared" si="140"/>
        <v>14500000</v>
      </c>
      <c r="K293" s="1347">
        <f t="shared" si="141"/>
        <v>3915000</v>
      </c>
      <c r="L293" s="1137">
        <v>18415000</v>
      </c>
      <c r="M293" s="1137"/>
      <c r="N293" s="1347"/>
      <c r="O293" s="1592">
        <f t="shared" si="134"/>
        <v>0</v>
      </c>
      <c r="P293" s="1252"/>
      <c r="Q293" s="1252"/>
      <c r="R293" s="1252"/>
      <c r="S293" s="1351">
        <f t="shared" si="135"/>
        <v>18415000</v>
      </c>
      <c r="T293" s="1351">
        <f t="shared" si="144"/>
        <v>14500000</v>
      </c>
      <c r="U293" s="660">
        <f t="shared" si="145"/>
        <v>3915000</v>
      </c>
      <c r="V293" s="451">
        <f t="shared" si="146"/>
        <v>18415000</v>
      </c>
      <c r="W293" s="451">
        <f t="shared" si="138"/>
        <v>0</v>
      </c>
      <c r="X293" s="660">
        <f t="shared" si="139"/>
        <v>0</v>
      </c>
      <c r="Y293" s="1348">
        <f t="shared" si="137"/>
        <v>18303765</v>
      </c>
      <c r="Z293" s="1348">
        <v>14412413</v>
      </c>
      <c r="AA293" s="1347">
        <v>3891352</v>
      </c>
      <c r="AB293" s="1137">
        <v>18303765</v>
      </c>
      <c r="AC293" s="1137"/>
      <c r="AD293" s="1347"/>
    </row>
    <row r="294" spans="1:30" s="293" customFormat="1" ht="14.25" customHeight="1">
      <c r="A294" s="1479">
        <v>61019</v>
      </c>
      <c r="B294" s="1343" t="s">
        <v>1275</v>
      </c>
      <c r="C294" s="1348">
        <v>2540000</v>
      </c>
      <c r="D294" s="1348">
        <v>2000000</v>
      </c>
      <c r="E294" s="1347">
        <v>540000</v>
      </c>
      <c r="F294" s="1539">
        <v>2540000</v>
      </c>
      <c r="G294" s="1539"/>
      <c r="H294" s="1539"/>
      <c r="I294" s="1348">
        <f t="shared" si="133"/>
        <v>2540000</v>
      </c>
      <c r="J294" s="1351">
        <f t="shared" si="140"/>
        <v>2000000</v>
      </c>
      <c r="K294" s="1347">
        <f t="shared" si="141"/>
        <v>540000</v>
      </c>
      <c r="L294" s="1137">
        <v>2540000</v>
      </c>
      <c r="M294" s="1137"/>
      <c r="N294" s="1347"/>
      <c r="O294" s="1592">
        <f t="shared" si="134"/>
        <v>0</v>
      </c>
      <c r="P294" s="1252"/>
      <c r="Q294" s="1252"/>
      <c r="R294" s="1252"/>
      <c r="S294" s="1351">
        <f t="shared" si="135"/>
        <v>2540000</v>
      </c>
      <c r="T294" s="1351">
        <f t="shared" si="144"/>
        <v>2000000</v>
      </c>
      <c r="U294" s="660">
        <f t="shared" si="145"/>
        <v>540000</v>
      </c>
      <c r="V294" s="451">
        <f t="shared" si="146"/>
        <v>2540000</v>
      </c>
      <c r="W294" s="451">
        <f t="shared" si="138"/>
        <v>0</v>
      </c>
      <c r="X294" s="660">
        <f t="shared" si="139"/>
        <v>0</v>
      </c>
      <c r="Y294" s="1348"/>
      <c r="Z294" s="1348"/>
      <c r="AA294" s="1347"/>
      <c r="AB294" s="1137"/>
      <c r="AC294" s="1137"/>
      <c r="AD294" s="1347"/>
    </row>
    <row r="295" spans="1:30" s="293" customFormat="1" ht="14.25" customHeight="1">
      <c r="A295" s="1479">
        <v>61020</v>
      </c>
      <c r="B295" s="1343" t="s">
        <v>1276</v>
      </c>
      <c r="C295" s="1348">
        <v>25400000</v>
      </c>
      <c r="D295" s="1348">
        <v>20000000</v>
      </c>
      <c r="E295" s="1347">
        <v>5400000</v>
      </c>
      <c r="F295" s="1539">
        <v>25400000</v>
      </c>
      <c r="G295" s="1539"/>
      <c r="H295" s="1539"/>
      <c r="I295" s="1348">
        <f t="shared" si="133"/>
        <v>25400000</v>
      </c>
      <c r="J295" s="1351">
        <f t="shared" si="140"/>
        <v>20000000</v>
      </c>
      <c r="K295" s="1347">
        <f t="shared" si="141"/>
        <v>5400000</v>
      </c>
      <c r="L295" s="1137">
        <v>25400000</v>
      </c>
      <c r="M295" s="1137"/>
      <c r="N295" s="1347"/>
      <c r="O295" s="1592">
        <f t="shared" si="134"/>
        <v>0</v>
      </c>
      <c r="P295" s="1252"/>
      <c r="Q295" s="1252"/>
      <c r="R295" s="1252"/>
      <c r="S295" s="1351">
        <f t="shared" si="135"/>
        <v>25400000</v>
      </c>
      <c r="T295" s="1351">
        <f t="shared" si="144"/>
        <v>20000000</v>
      </c>
      <c r="U295" s="660">
        <f t="shared" si="145"/>
        <v>5400000</v>
      </c>
      <c r="V295" s="451">
        <f t="shared" si="146"/>
        <v>25400000</v>
      </c>
      <c r="W295" s="451">
        <f t="shared" si="138"/>
        <v>0</v>
      </c>
      <c r="X295" s="660">
        <f t="shared" si="139"/>
        <v>0</v>
      </c>
      <c r="Y295" s="1348">
        <f t="shared" ref="Y295:Y306" si="147">Z295+AA295</f>
        <v>25400000</v>
      </c>
      <c r="Z295" s="1348">
        <v>20000000</v>
      </c>
      <c r="AA295" s="1347">
        <v>5400000</v>
      </c>
      <c r="AB295" s="1137">
        <v>25400000</v>
      </c>
      <c r="AC295" s="1137"/>
      <c r="AD295" s="1347"/>
    </row>
    <row r="296" spans="1:30" s="293" customFormat="1" ht="14.25" customHeight="1">
      <c r="A296" s="1479">
        <v>61021</v>
      </c>
      <c r="B296" s="1343" t="s">
        <v>1277</v>
      </c>
      <c r="C296" s="1348">
        <v>25400000</v>
      </c>
      <c r="D296" s="1348">
        <v>20000000</v>
      </c>
      <c r="E296" s="1347">
        <v>5400000</v>
      </c>
      <c r="F296" s="1539">
        <v>25400000</v>
      </c>
      <c r="G296" s="1539"/>
      <c r="H296" s="1539"/>
      <c r="I296" s="1348">
        <f t="shared" si="133"/>
        <v>25400000</v>
      </c>
      <c r="J296" s="1351">
        <f t="shared" si="140"/>
        <v>20000000</v>
      </c>
      <c r="K296" s="1347">
        <f t="shared" si="141"/>
        <v>5400000</v>
      </c>
      <c r="L296" s="1137">
        <v>25400000</v>
      </c>
      <c r="M296" s="1137"/>
      <c r="N296" s="1347"/>
      <c r="O296" s="1592">
        <f t="shared" si="134"/>
        <v>0</v>
      </c>
      <c r="P296" s="1252"/>
      <c r="Q296" s="1252"/>
      <c r="R296" s="1252"/>
      <c r="S296" s="1351">
        <f t="shared" si="135"/>
        <v>25400000</v>
      </c>
      <c r="T296" s="1351">
        <f t="shared" si="144"/>
        <v>20000000</v>
      </c>
      <c r="U296" s="660">
        <f t="shared" si="145"/>
        <v>5400000</v>
      </c>
      <c r="V296" s="451">
        <f t="shared" si="146"/>
        <v>25400000</v>
      </c>
      <c r="W296" s="451">
        <f t="shared" si="138"/>
        <v>0</v>
      </c>
      <c r="X296" s="660">
        <f t="shared" si="139"/>
        <v>0</v>
      </c>
      <c r="Y296" s="1348">
        <f t="shared" si="147"/>
        <v>24514658</v>
      </c>
      <c r="Z296" s="1348">
        <v>19302880</v>
      </c>
      <c r="AA296" s="1347">
        <v>5211778</v>
      </c>
      <c r="AB296" s="1137">
        <v>24514658</v>
      </c>
      <c r="AC296" s="1137"/>
      <c r="AD296" s="1347"/>
    </row>
    <row r="297" spans="1:30" s="293" customFormat="1" ht="14.25" customHeight="1">
      <c r="A297" s="1479">
        <v>61022</v>
      </c>
      <c r="B297" s="1343" t="s">
        <v>1278</v>
      </c>
      <c r="C297" s="1348">
        <v>10160000</v>
      </c>
      <c r="D297" s="1348">
        <v>8000000</v>
      </c>
      <c r="E297" s="1347">
        <v>2160000</v>
      </c>
      <c r="F297" s="1539">
        <v>10160000</v>
      </c>
      <c r="G297" s="1539"/>
      <c r="H297" s="1539"/>
      <c r="I297" s="1348">
        <f t="shared" si="133"/>
        <v>10160000</v>
      </c>
      <c r="J297" s="1351">
        <f t="shared" si="140"/>
        <v>8000000</v>
      </c>
      <c r="K297" s="1347">
        <f t="shared" si="141"/>
        <v>2160000</v>
      </c>
      <c r="L297" s="1137">
        <v>10160000</v>
      </c>
      <c r="M297" s="1137"/>
      <c r="N297" s="1347"/>
      <c r="O297" s="1592">
        <f t="shared" si="134"/>
        <v>0</v>
      </c>
      <c r="P297" s="1252"/>
      <c r="Q297" s="1252"/>
      <c r="R297" s="1252"/>
      <c r="S297" s="1351">
        <f t="shared" si="135"/>
        <v>19812000</v>
      </c>
      <c r="T297" s="1351">
        <f t="shared" si="144"/>
        <v>15600000</v>
      </c>
      <c r="U297" s="660">
        <f t="shared" si="145"/>
        <v>4212000</v>
      </c>
      <c r="V297" s="451">
        <v>19812000</v>
      </c>
      <c r="W297" s="451">
        <f t="shared" si="138"/>
        <v>0</v>
      </c>
      <c r="X297" s="660">
        <f t="shared" si="139"/>
        <v>0</v>
      </c>
      <c r="Y297" s="1348">
        <f t="shared" si="147"/>
        <v>1016000</v>
      </c>
      <c r="Z297" s="1348">
        <v>800000</v>
      </c>
      <c r="AA297" s="1347">
        <v>216000</v>
      </c>
      <c r="AB297" s="1137">
        <v>1016000</v>
      </c>
      <c r="AC297" s="1137"/>
      <c r="AD297" s="1347"/>
    </row>
    <row r="298" spans="1:30" s="293" customFormat="1" ht="14.25" customHeight="1">
      <c r="A298" s="1479">
        <v>61023</v>
      </c>
      <c r="B298" s="1343" t="s">
        <v>1279</v>
      </c>
      <c r="C298" s="1348">
        <v>2540000</v>
      </c>
      <c r="D298" s="1348">
        <v>2000000</v>
      </c>
      <c r="E298" s="1347">
        <v>540000</v>
      </c>
      <c r="F298" s="1539">
        <v>2540000</v>
      </c>
      <c r="G298" s="1539"/>
      <c r="H298" s="1539"/>
      <c r="I298" s="1348">
        <f t="shared" si="133"/>
        <v>7620000</v>
      </c>
      <c r="J298" s="1351">
        <f t="shared" si="140"/>
        <v>6000000</v>
      </c>
      <c r="K298" s="1347">
        <f t="shared" si="141"/>
        <v>1620000</v>
      </c>
      <c r="L298" s="1137">
        <v>7620000</v>
      </c>
      <c r="M298" s="1137"/>
      <c r="N298" s="1347"/>
      <c r="O298" s="1592">
        <f t="shared" si="134"/>
        <v>0</v>
      </c>
      <c r="P298" s="1252"/>
      <c r="Q298" s="1252"/>
      <c r="R298" s="1252"/>
      <c r="S298" s="1351">
        <f t="shared" si="135"/>
        <v>7620000</v>
      </c>
      <c r="T298" s="1351">
        <f t="shared" si="144"/>
        <v>6000000</v>
      </c>
      <c r="U298" s="660">
        <f t="shared" si="145"/>
        <v>1620000</v>
      </c>
      <c r="V298" s="451">
        <f t="shared" ref="V298:V306" si="148">SUM(L298+P298)</f>
        <v>7620000</v>
      </c>
      <c r="W298" s="451">
        <f t="shared" si="138"/>
        <v>0</v>
      </c>
      <c r="X298" s="660">
        <f t="shared" si="139"/>
        <v>0</v>
      </c>
      <c r="Y298" s="1348">
        <f t="shared" si="147"/>
        <v>7098412</v>
      </c>
      <c r="Z298" s="1348">
        <v>5589301</v>
      </c>
      <c r="AA298" s="1347">
        <v>1509111</v>
      </c>
      <c r="AB298" s="1137">
        <v>7098412</v>
      </c>
      <c r="AC298" s="1137"/>
      <c r="AD298" s="1347"/>
    </row>
    <row r="299" spans="1:30" s="293" customFormat="1" ht="29.25" customHeight="1">
      <c r="A299" s="1479">
        <v>61024</v>
      </c>
      <c r="B299" s="1343" t="s">
        <v>1280</v>
      </c>
      <c r="C299" s="1348">
        <v>22860000</v>
      </c>
      <c r="D299" s="1348">
        <v>18000000</v>
      </c>
      <c r="E299" s="1347">
        <v>4860000</v>
      </c>
      <c r="F299" s="1539">
        <v>22860000</v>
      </c>
      <c r="G299" s="1539"/>
      <c r="H299" s="1539"/>
      <c r="I299" s="1348">
        <f t="shared" si="133"/>
        <v>22860000</v>
      </c>
      <c r="J299" s="1351">
        <f t="shared" si="140"/>
        <v>18000000</v>
      </c>
      <c r="K299" s="1347">
        <f t="shared" si="141"/>
        <v>4860000</v>
      </c>
      <c r="L299" s="1137">
        <v>22860000</v>
      </c>
      <c r="M299" s="1137"/>
      <c r="N299" s="1347"/>
      <c r="O299" s="1592">
        <f t="shared" si="134"/>
        <v>0</v>
      </c>
      <c r="P299" s="1252"/>
      <c r="Q299" s="1252"/>
      <c r="R299" s="1252"/>
      <c r="S299" s="1351">
        <f t="shared" si="135"/>
        <v>22860000</v>
      </c>
      <c r="T299" s="1351">
        <f t="shared" si="144"/>
        <v>18000000</v>
      </c>
      <c r="U299" s="660">
        <f t="shared" si="145"/>
        <v>4860000</v>
      </c>
      <c r="V299" s="451">
        <f t="shared" si="148"/>
        <v>22860000</v>
      </c>
      <c r="W299" s="451">
        <f t="shared" si="138"/>
        <v>0</v>
      </c>
      <c r="X299" s="660">
        <f t="shared" si="139"/>
        <v>0</v>
      </c>
      <c r="Y299" s="1348">
        <f t="shared" si="147"/>
        <v>21628776</v>
      </c>
      <c r="Z299" s="1348">
        <v>17030533</v>
      </c>
      <c r="AA299" s="1347">
        <v>4598243</v>
      </c>
      <c r="AB299" s="1137">
        <v>21628776</v>
      </c>
      <c r="AC299" s="1137"/>
      <c r="AD299" s="1347"/>
    </row>
    <row r="300" spans="1:30" s="293" customFormat="1" ht="14.25" customHeight="1">
      <c r="A300" s="1479">
        <v>61025</v>
      </c>
      <c r="B300" s="1343" t="s">
        <v>1281</v>
      </c>
      <c r="C300" s="1348">
        <v>76200000</v>
      </c>
      <c r="D300" s="1348">
        <v>60000000</v>
      </c>
      <c r="E300" s="1347">
        <v>16200000</v>
      </c>
      <c r="F300" s="1539">
        <v>76200000</v>
      </c>
      <c r="G300" s="1539"/>
      <c r="H300" s="1539"/>
      <c r="I300" s="1348">
        <f t="shared" si="133"/>
        <v>76200000</v>
      </c>
      <c r="J300" s="1351">
        <f t="shared" si="140"/>
        <v>60000000</v>
      </c>
      <c r="K300" s="1347">
        <f t="shared" si="141"/>
        <v>16200000</v>
      </c>
      <c r="L300" s="1137">
        <v>76200000</v>
      </c>
      <c r="M300" s="1137"/>
      <c r="N300" s="1347"/>
      <c r="O300" s="1592">
        <f t="shared" si="134"/>
        <v>0</v>
      </c>
      <c r="P300" s="1252"/>
      <c r="Q300" s="1252"/>
      <c r="R300" s="1252"/>
      <c r="S300" s="1351">
        <f t="shared" si="135"/>
        <v>76200000</v>
      </c>
      <c r="T300" s="1351">
        <f t="shared" si="144"/>
        <v>60000000</v>
      </c>
      <c r="U300" s="660">
        <f t="shared" si="145"/>
        <v>16200000</v>
      </c>
      <c r="V300" s="451">
        <f t="shared" si="148"/>
        <v>76200000</v>
      </c>
      <c r="W300" s="451">
        <f t="shared" si="138"/>
        <v>0</v>
      </c>
      <c r="X300" s="660">
        <f t="shared" si="139"/>
        <v>0</v>
      </c>
      <c r="Y300" s="1348">
        <f t="shared" si="147"/>
        <v>76200000</v>
      </c>
      <c r="Z300" s="1348">
        <v>60000000</v>
      </c>
      <c r="AA300" s="1347">
        <v>16200000</v>
      </c>
      <c r="AB300" s="1137">
        <v>76200000</v>
      </c>
      <c r="AC300" s="1137"/>
      <c r="AD300" s="1347"/>
    </row>
    <row r="301" spans="1:30" s="293" customFormat="1" ht="14.25" customHeight="1">
      <c r="A301" s="1479">
        <v>61026</v>
      </c>
      <c r="B301" s="1343" t="s">
        <v>1282</v>
      </c>
      <c r="C301" s="1348">
        <v>7620000</v>
      </c>
      <c r="D301" s="1348">
        <v>6000000</v>
      </c>
      <c r="E301" s="1347">
        <v>1620000</v>
      </c>
      <c r="F301" s="1539">
        <v>7620000</v>
      </c>
      <c r="G301" s="1539"/>
      <c r="H301" s="1539"/>
      <c r="I301" s="1348">
        <f t="shared" si="133"/>
        <v>7620000</v>
      </c>
      <c r="J301" s="1351">
        <f t="shared" si="140"/>
        <v>6000000</v>
      </c>
      <c r="K301" s="1347">
        <f t="shared" si="141"/>
        <v>1620000</v>
      </c>
      <c r="L301" s="1137">
        <v>7620000</v>
      </c>
      <c r="M301" s="1137"/>
      <c r="N301" s="1347"/>
      <c r="O301" s="1592">
        <f t="shared" si="134"/>
        <v>0</v>
      </c>
      <c r="P301" s="1252"/>
      <c r="Q301" s="1252"/>
      <c r="R301" s="1252"/>
      <c r="S301" s="1351">
        <f t="shared" si="135"/>
        <v>7620000</v>
      </c>
      <c r="T301" s="1351">
        <f t="shared" si="144"/>
        <v>6000000</v>
      </c>
      <c r="U301" s="660">
        <f t="shared" si="145"/>
        <v>1620000</v>
      </c>
      <c r="V301" s="451">
        <f t="shared" si="148"/>
        <v>7620000</v>
      </c>
      <c r="W301" s="451">
        <f t="shared" si="138"/>
        <v>0</v>
      </c>
      <c r="X301" s="660">
        <f t="shared" si="139"/>
        <v>0</v>
      </c>
      <c r="Y301" s="1348">
        <f t="shared" si="147"/>
        <v>6187691</v>
      </c>
      <c r="Z301" s="1348">
        <v>4872198</v>
      </c>
      <c r="AA301" s="1347">
        <v>1315493</v>
      </c>
      <c r="AB301" s="1137">
        <v>6187691</v>
      </c>
      <c r="AC301" s="1137"/>
      <c r="AD301" s="1347"/>
    </row>
    <row r="302" spans="1:30" s="293" customFormat="1" ht="14.25" customHeight="1">
      <c r="A302" s="1479">
        <v>61027</v>
      </c>
      <c r="B302" s="1343" t="s">
        <v>1283</v>
      </c>
      <c r="C302" s="1348">
        <v>1905000</v>
      </c>
      <c r="D302" s="1348">
        <v>1500000</v>
      </c>
      <c r="E302" s="1347">
        <v>405000</v>
      </c>
      <c r="F302" s="1539">
        <v>1905000</v>
      </c>
      <c r="G302" s="1539"/>
      <c r="H302" s="1539"/>
      <c r="I302" s="1348">
        <f t="shared" si="133"/>
        <v>2735580</v>
      </c>
      <c r="J302" s="1351">
        <f t="shared" si="140"/>
        <v>2154000</v>
      </c>
      <c r="K302" s="1347">
        <f t="shared" si="141"/>
        <v>581580</v>
      </c>
      <c r="L302" s="1137">
        <v>2735580</v>
      </c>
      <c r="M302" s="1137"/>
      <c r="N302" s="1347"/>
      <c r="O302" s="1592">
        <f t="shared" si="134"/>
        <v>0</v>
      </c>
      <c r="P302" s="1252"/>
      <c r="Q302" s="1252"/>
      <c r="R302" s="1252"/>
      <c r="S302" s="1351">
        <f t="shared" si="135"/>
        <v>2735580</v>
      </c>
      <c r="T302" s="1351">
        <f t="shared" si="144"/>
        <v>2154000</v>
      </c>
      <c r="U302" s="660">
        <f t="shared" si="145"/>
        <v>581580</v>
      </c>
      <c r="V302" s="451">
        <f t="shared" si="148"/>
        <v>2735580</v>
      </c>
      <c r="W302" s="451">
        <f t="shared" si="138"/>
        <v>0</v>
      </c>
      <c r="X302" s="660">
        <f t="shared" si="139"/>
        <v>0</v>
      </c>
      <c r="Y302" s="1348">
        <f t="shared" si="147"/>
        <v>1941333</v>
      </c>
      <c r="Z302" s="1348">
        <v>1528609</v>
      </c>
      <c r="AA302" s="1347">
        <v>412724</v>
      </c>
      <c r="AB302" s="1137">
        <v>1941333</v>
      </c>
      <c r="AC302" s="1137"/>
      <c r="AD302" s="1347"/>
    </row>
    <row r="303" spans="1:30" s="293" customFormat="1" ht="14.25" customHeight="1">
      <c r="A303" s="1594">
        <v>31043</v>
      </c>
      <c r="B303" s="1377" t="s">
        <v>1284</v>
      </c>
      <c r="C303" s="1348">
        <v>353000</v>
      </c>
      <c r="D303" s="1348">
        <v>278000</v>
      </c>
      <c r="E303" s="1347">
        <v>75000</v>
      </c>
      <c r="F303" s="1539">
        <v>353000</v>
      </c>
      <c r="G303" s="1595"/>
      <c r="H303" s="1595"/>
      <c r="I303" s="1348">
        <f t="shared" si="133"/>
        <v>353000</v>
      </c>
      <c r="J303" s="1351">
        <v>278000</v>
      </c>
      <c r="K303" s="660">
        <v>75000</v>
      </c>
      <c r="L303" s="1137">
        <v>353000</v>
      </c>
      <c r="M303" s="1137"/>
      <c r="N303" s="1347"/>
      <c r="O303" s="1592">
        <f t="shared" si="134"/>
        <v>0</v>
      </c>
      <c r="P303" s="1252"/>
      <c r="Q303" s="1252"/>
      <c r="R303" s="1252"/>
      <c r="S303" s="1351">
        <f t="shared" si="135"/>
        <v>353000</v>
      </c>
      <c r="T303" s="1351">
        <f>SUM(S303)/1.27+47</f>
        <v>278000</v>
      </c>
      <c r="U303" s="660">
        <f>SUM(T303)*0.27-60</f>
        <v>75000</v>
      </c>
      <c r="V303" s="451">
        <f t="shared" si="148"/>
        <v>353000</v>
      </c>
      <c r="W303" s="451">
        <f t="shared" si="138"/>
        <v>0</v>
      </c>
      <c r="X303" s="660">
        <f t="shared" si="139"/>
        <v>0</v>
      </c>
      <c r="Y303" s="1348">
        <f t="shared" si="147"/>
        <v>0</v>
      </c>
      <c r="Z303" s="1348"/>
      <c r="AA303" s="1347"/>
      <c r="AB303" s="1137"/>
      <c r="AC303" s="1137"/>
      <c r="AD303" s="1347"/>
    </row>
    <row r="304" spans="1:30" s="293" customFormat="1" ht="14.25" customHeight="1">
      <c r="A304" s="1479">
        <v>31061</v>
      </c>
      <c r="B304" s="1343" t="s">
        <v>1285</v>
      </c>
      <c r="C304" s="1348">
        <v>366000</v>
      </c>
      <c r="D304" s="1348">
        <v>288000</v>
      </c>
      <c r="E304" s="1347">
        <v>78000</v>
      </c>
      <c r="F304" s="1595">
        <v>366000</v>
      </c>
      <c r="G304" s="1539"/>
      <c r="H304" s="1539"/>
      <c r="I304" s="1348">
        <f t="shared" si="133"/>
        <v>366000</v>
      </c>
      <c r="J304" s="1351">
        <v>288000</v>
      </c>
      <c r="K304" s="660">
        <v>78000</v>
      </c>
      <c r="L304" s="1137">
        <v>366000</v>
      </c>
      <c r="M304" s="1137"/>
      <c r="N304" s="1347"/>
      <c r="O304" s="1592">
        <f t="shared" si="134"/>
        <v>0</v>
      </c>
      <c r="P304" s="1252"/>
      <c r="Q304" s="1252"/>
      <c r="R304" s="1252"/>
      <c r="S304" s="1351">
        <f t="shared" si="135"/>
        <v>366000</v>
      </c>
      <c r="T304" s="1351">
        <f>SUM(S304)/1.27-189</f>
        <v>288000</v>
      </c>
      <c r="U304" s="660">
        <f>SUM(T304)*0.27+240</f>
        <v>78000</v>
      </c>
      <c r="V304" s="451">
        <f t="shared" si="148"/>
        <v>366000</v>
      </c>
      <c r="W304" s="451">
        <f t="shared" si="138"/>
        <v>0</v>
      </c>
      <c r="X304" s="660">
        <f t="shared" si="139"/>
        <v>0</v>
      </c>
      <c r="Y304" s="1348">
        <f t="shared" si="147"/>
        <v>365760</v>
      </c>
      <c r="Z304" s="1348">
        <v>288000</v>
      </c>
      <c r="AA304" s="1347">
        <v>77760</v>
      </c>
      <c r="AB304" s="1137">
        <v>365760</v>
      </c>
      <c r="AC304" s="1137"/>
      <c r="AD304" s="1347"/>
    </row>
    <row r="305" spans="1:30" s="293" customFormat="1" ht="14.25" customHeight="1">
      <c r="A305" s="1479">
        <v>41002</v>
      </c>
      <c r="B305" s="1343" t="s">
        <v>1286</v>
      </c>
      <c r="C305" s="1348">
        <v>1591000</v>
      </c>
      <c r="D305" s="1348">
        <v>1253000</v>
      </c>
      <c r="E305" s="1347">
        <v>338000</v>
      </c>
      <c r="F305" s="1539">
        <v>1591000</v>
      </c>
      <c r="G305" s="1539"/>
      <c r="H305" s="1539"/>
      <c r="I305" s="1348">
        <f t="shared" si="133"/>
        <v>1591000</v>
      </c>
      <c r="J305" s="1351">
        <v>1253000</v>
      </c>
      <c r="K305" s="660">
        <v>338000</v>
      </c>
      <c r="L305" s="1137">
        <v>1591000</v>
      </c>
      <c r="M305" s="1137"/>
      <c r="N305" s="1347"/>
      <c r="O305" s="1592">
        <f t="shared" si="134"/>
        <v>0</v>
      </c>
      <c r="P305" s="1252"/>
      <c r="Q305" s="1252"/>
      <c r="R305" s="1252"/>
      <c r="S305" s="1351">
        <f t="shared" si="135"/>
        <v>1591000</v>
      </c>
      <c r="T305" s="1351">
        <f>SUM(S305)/1.27+244</f>
        <v>1253000</v>
      </c>
      <c r="U305" s="660">
        <f>SUM(T305)*0.27-310</f>
        <v>338000</v>
      </c>
      <c r="V305" s="451">
        <f t="shared" si="148"/>
        <v>1591000</v>
      </c>
      <c r="W305" s="451">
        <f t="shared" si="138"/>
        <v>0</v>
      </c>
      <c r="X305" s="660">
        <f t="shared" si="139"/>
        <v>0</v>
      </c>
      <c r="Y305" s="1348">
        <f t="shared" si="147"/>
        <v>1587198</v>
      </c>
      <c r="Z305" s="1348">
        <v>1249762</v>
      </c>
      <c r="AA305" s="1347">
        <v>337436</v>
      </c>
      <c r="AB305" s="1137">
        <v>1587198</v>
      </c>
      <c r="AC305" s="1137"/>
      <c r="AD305" s="1347"/>
    </row>
    <row r="306" spans="1:30" s="293" customFormat="1" ht="14.25" customHeight="1">
      <c r="A306" s="1479">
        <v>41004</v>
      </c>
      <c r="B306" s="1343" t="s">
        <v>1287</v>
      </c>
      <c r="C306" s="1348">
        <v>563000</v>
      </c>
      <c r="D306" s="1348">
        <v>443000</v>
      </c>
      <c r="E306" s="1347">
        <v>120000</v>
      </c>
      <c r="F306" s="1539">
        <v>563000</v>
      </c>
      <c r="G306" s="1539"/>
      <c r="H306" s="1539"/>
      <c r="I306" s="1348">
        <f t="shared" si="133"/>
        <v>563000</v>
      </c>
      <c r="J306" s="1351">
        <v>443000</v>
      </c>
      <c r="K306" s="660">
        <v>120000</v>
      </c>
      <c r="L306" s="1137">
        <v>563000</v>
      </c>
      <c r="M306" s="1137"/>
      <c r="N306" s="1347"/>
      <c r="O306" s="1592">
        <f t="shared" si="134"/>
        <v>0</v>
      </c>
      <c r="P306" s="1252"/>
      <c r="Q306" s="1252"/>
      <c r="R306" s="1252"/>
      <c r="S306" s="1351">
        <f t="shared" si="135"/>
        <v>563000</v>
      </c>
      <c r="T306" s="1351">
        <f>SUM(S306)/1.27-307</f>
        <v>443000</v>
      </c>
      <c r="U306" s="660">
        <f>SUM(T306)*0.27+390</f>
        <v>120000</v>
      </c>
      <c r="V306" s="451">
        <f t="shared" si="148"/>
        <v>563000</v>
      </c>
      <c r="W306" s="451">
        <f t="shared" si="138"/>
        <v>0</v>
      </c>
      <c r="X306" s="660">
        <f t="shared" si="139"/>
        <v>0</v>
      </c>
      <c r="Y306" s="1348">
        <f t="shared" si="147"/>
        <v>562610</v>
      </c>
      <c r="Z306" s="1348">
        <v>443000</v>
      </c>
      <c r="AA306" s="1347">
        <v>119610</v>
      </c>
      <c r="AB306" s="1137">
        <v>562610</v>
      </c>
      <c r="AC306" s="1137"/>
      <c r="AD306" s="1347"/>
    </row>
    <row r="307" spans="1:30" s="293" customFormat="1" ht="14.25" customHeight="1">
      <c r="A307" s="1479">
        <v>51003</v>
      </c>
      <c r="B307" s="1343" t="s">
        <v>1288</v>
      </c>
      <c r="C307" s="1348">
        <v>26448000</v>
      </c>
      <c r="D307" s="1348">
        <v>20825000</v>
      </c>
      <c r="E307" s="1347">
        <v>5623000</v>
      </c>
      <c r="F307" s="1539">
        <v>26448000</v>
      </c>
      <c r="G307" s="1539"/>
      <c r="H307" s="1539"/>
      <c r="I307" s="1348">
        <f t="shared" ref="I307:I338" si="149">SUM(L307:N307)</f>
        <v>26448000</v>
      </c>
      <c r="J307" s="1351">
        <v>20825000</v>
      </c>
      <c r="K307" s="660">
        <v>5623000</v>
      </c>
      <c r="L307" s="1137">
        <v>26448000</v>
      </c>
      <c r="M307" s="1137"/>
      <c r="N307" s="1347"/>
      <c r="O307" s="1592">
        <f t="shared" ref="O307:O338" si="150">SUM(P307:R307)</f>
        <v>0</v>
      </c>
      <c r="P307" s="1252"/>
      <c r="Q307" s="1252"/>
      <c r="R307" s="1252"/>
      <c r="S307" s="1351">
        <f t="shared" si="135"/>
        <v>0</v>
      </c>
      <c r="T307" s="1351">
        <v>20825000</v>
      </c>
      <c r="U307" s="1351">
        <v>5623000</v>
      </c>
      <c r="V307" s="1351">
        <v>0</v>
      </c>
      <c r="W307" s="451">
        <f t="shared" si="138"/>
        <v>0</v>
      </c>
      <c r="X307" s="660">
        <f t="shared" si="139"/>
        <v>0</v>
      </c>
      <c r="Y307" s="1348"/>
      <c r="Z307" s="1348"/>
      <c r="AA307" s="1347"/>
      <c r="AB307" s="1137"/>
      <c r="AC307" s="1137"/>
      <c r="AD307" s="1347"/>
    </row>
    <row r="308" spans="1:30" s="293" customFormat="1" ht="14.25" customHeight="1">
      <c r="A308" s="1479">
        <v>51004</v>
      </c>
      <c r="B308" s="1343" t="s">
        <v>1289</v>
      </c>
      <c r="C308" s="1348">
        <v>42291000</v>
      </c>
      <c r="D308" s="1348">
        <v>33300000</v>
      </c>
      <c r="E308" s="1347">
        <v>8991000</v>
      </c>
      <c r="F308" s="1539">
        <v>42291000</v>
      </c>
      <c r="G308" s="1539"/>
      <c r="H308" s="1539"/>
      <c r="I308" s="1348">
        <f t="shared" si="149"/>
        <v>42291000</v>
      </c>
      <c r="J308" s="1351">
        <f>SUM(I308)/1.27</f>
        <v>33300000</v>
      </c>
      <c r="K308" s="660">
        <f>SUM(J308)*0.27</f>
        <v>8991000</v>
      </c>
      <c r="L308" s="1137">
        <v>42291000</v>
      </c>
      <c r="M308" s="1137"/>
      <c r="N308" s="1347"/>
      <c r="O308" s="1592">
        <f t="shared" si="150"/>
        <v>0</v>
      </c>
      <c r="P308" s="1252"/>
      <c r="Q308" s="1252"/>
      <c r="R308" s="1252"/>
      <c r="S308" s="1351">
        <f t="shared" ref="S308:S339" si="151">SUM(V308:X308)</f>
        <v>42291000</v>
      </c>
      <c r="T308" s="1351">
        <f>SUM(S308)/1.27</f>
        <v>33300000</v>
      </c>
      <c r="U308" s="660">
        <f>SUM(T308)*0.27</f>
        <v>8991000</v>
      </c>
      <c r="V308" s="451">
        <f>SUM(L308+P308)</f>
        <v>42291000</v>
      </c>
      <c r="W308" s="451">
        <f t="shared" si="138"/>
        <v>0</v>
      </c>
      <c r="X308" s="660">
        <f t="shared" si="139"/>
        <v>0</v>
      </c>
      <c r="Y308" s="1348">
        <f t="shared" ref="Y308:Y339" si="152">Z308+AA308</f>
        <v>36245800</v>
      </c>
      <c r="Z308" s="1348">
        <v>28540000</v>
      </c>
      <c r="AA308" s="1347">
        <v>7705800</v>
      </c>
      <c r="AB308" s="1137">
        <v>36245800</v>
      </c>
      <c r="AC308" s="1137"/>
      <c r="AD308" s="1347"/>
    </row>
    <row r="309" spans="1:30" s="293" customFormat="1" ht="14.25" customHeight="1">
      <c r="A309" s="1479">
        <v>51005</v>
      </c>
      <c r="B309" s="1343" t="s">
        <v>1290</v>
      </c>
      <c r="C309" s="1348">
        <v>1130000</v>
      </c>
      <c r="D309" s="1348">
        <v>890000</v>
      </c>
      <c r="E309" s="1347">
        <v>240000</v>
      </c>
      <c r="F309" s="1539">
        <v>1130000</v>
      </c>
      <c r="G309" s="1539"/>
      <c r="H309" s="1539"/>
      <c r="I309" s="1348">
        <f t="shared" si="149"/>
        <v>1130000</v>
      </c>
      <c r="J309" s="1351">
        <v>890000</v>
      </c>
      <c r="K309" s="660">
        <v>240000</v>
      </c>
      <c r="L309" s="1137">
        <v>1130000</v>
      </c>
      <c r="M309" s="1137"/>
      <c r="N309" s="1347"/>
      <c r="O309" s="1592">
        <f t="shared" si="150"/>
        <v>0</v>
      </c>
      <c r="P309" s="1252"/>
      <c r="Q309" s="1252"/>
      <c r="R309" s="1252"/>
      <c r="S309" s="1351">
        <f t="shared" si="151"/>
        <v>1130000</v>
      </c>
      <c r="T309" s="1351">
        <f>SUM(S309)/1.27+236</f>
        <v>890000</v>
      </c>
      <c r="U309" s="660">
        <f>SUM(T309)*0.27-300</f>
        <v>240000</v>
      </c>
      <c r="V309" s="451">
        <f>SUM(L309+P309)</f>
        <v>1130000</v>
      </c>
      <c r="W309" s="451">
        <f t="shared" si="138"/>
        <v>0</v>
      </c>
      <c r="X309" s="660">
        <f t="shared" si="139"/>
        <v>0</v>
      </c>
      <c r="Y309" s="1348">
        <f t="shared" si="152"/>
        <v>0</v>
      </c>
      <c r="Z309" s="1348"/>
      <c r="AA309" s="1347"/>
      <c r="AB309" s="1137"/>
      <c r="AC309" s="1137"/>
      <c r="AD309" s="1347"/>
    </row>
    <row r="310" spans="1:30" s="293" customFormat="1" ht="14.25" customHeight="1">
      <c r="A310" s="1479">
        <v>41043</v>
      </c>
      <c r="B310" s="1343" t="s">
        <v>1291</v>
      </c>
      <c r="C310" s="1348">
        <v>2371000</v>
      </c>
      <c r="D310" s="1348">
        <v>1867000</v>
      </c>
      <c r="E310" s="1347">
        <v>504000</v>
      </c>
      <c r="F310" s="1539">
        <v>2371000</v>
      </c>
      <c r="G310" s="1539"/>
      <c r="H310" s="1539"/>
      <c r="I310" s="1348">
        <f t="shared" si="149"/>
        <v>2371000</v>
      </c>
      <c r="J310" s="1351">
        <v>1867000</v>
      </c>
      <c r="K310" s="660">
        <v>504000</v>
      </c>
      <c r="L310" s="1137">
        <v>2371000</v>
      </c>
      <c r="M310" s="1137"/>
      <c r="N310" s="1347"/>
      <c r="O310" s="1592">
        <f t="shared" si="150"/>
        <v>0</v>
      </c>
      <c r="P310" s="1252"/>
      <c r="Q310" s="1252"/>
      <c r="R310" s="1252"/>
      <c r="S310" s="1351">
        <f t="shared" si="151"/>
        <v>2371000</v>
      </c>
      <c r="T310" s="1351">
        <f>SUM(S310)/1.27+71</f>
        <v>1867000</v>
      </c>
      <c r="U310" s="660">
        <f>SUM(T310)*0.27-90</f>
        <v>504000</v>
      </c>
      <c r="V310" s="451">
        <f>SUM(L310+P310)</f>
        <v>2371000</v>
      </c>
      <c r="W310" s="451">
        <f t="shared" ref="W310:W341" si="153">SUM(M310+Q310)</f>
        <v>0</v>
      </c>
      <c r="X310" s="660">
        <f t="shared" ref="X310:X341" si="154">SUM(N310+R310)</f>
        <v>0</v>
      </c>
      <c r="Y310" s="1348">
        <f t="shared" si="152"/>
        <v>2371725</v>
      </c>
      <c r="Z310" s="1348">
        <v>1867500</v>
      </c>
      <c r="AA310" s="1347">
        <v>504225</v>
      </c>
      <c r="AB310" s="1137">
        <v>2371725</v>
      </c>
      <c r="AC310" s="1137"/>
      <c r="AD310" s="1347"/>
    </row>
    <row r="311" spans="1:30" s="293" customFormat="1" ht="14.25" customHeight="1">
      <c r="A311" s="1479">
        <v>51044</v>
      </c>
      <c r="B311" s="1343" t="s">
        <v>1292</v>
      </c>
      <c r="C311" s="1348">
        <v>6160000</v>
      </c>
      <c r="D311" s="1348">
        <v>4850000</v>
      </c>
      <c r="E311" s="1347">
        <v>1310000</v>
      </c>
      <c r="F311" s="1539">
        <v>6160000</v>
      </c>
      <c r="G311" s="1539"/>
      <c r="H311" s="1539"/>
      <c r="I311" s="1348">
        <f t="shared" si="149"/>
        <v>6160000</v>
      </c>
      <c r="J311" s="1351">
        <v>4850000</v>
      </c>
      <c r="K311" s="660">
        <v>1310000</v>
      </c>
      <c r="L311" s="1137">
        <v>6160000</v>
      </c>
      <c r="M311" s="1137"/>
      <c r="N311" s="1347"/>
      <c r="O311" s="1592">
        <f t="shared" si="150"/>
        <v>0</v>
      </c>
      <c r="P311" s="1252"/>
      <c r="Q311" s="1252"/>
      <c r="R311" s="1252"/>
      <c r="S311" s="1351">
        <f t="shared" si="151"/>
        <v>6160000</v>
      </c>
      <c r="T311" s="1351">
        <f>SUM(S311)/1.27-394</f>
        <v>4850000</v>
      </c>
      <c r="U311" s="660">
        <v>1310000</v>
      </c>
      <c r="V311" s="451">
        <f>SUM(L311+P311)</f>
        <v>6160000</v>
      </c>
      <c r="W311" s="451">
        <f t="shared" si="153"/>
        <v>0</v>
      </c>
      <c r="X311" s="660">
        <f t="shared" si="154"/>
        <v>0</v>
      </c>
      <c r="Y311" s="1348">
        <f t="shared" si="152"/>
        <v>6159500</v>
      </c>
      <c r="Z311" s="1348">
        <v>4850000</v>
      </c>
      <c r="AA311" s="1347">
        <v>1309500</v>
      </c>
      <c r="AB311" s="1137">
        <v>6159500</v>
      </c>
      <c r="AC311" s="1137"/>
      <c r="AD311" s="1347"/>
    </row>
    <row r="312" spans="1:30" s="293" customFormat="1" ht="14.25" customHeight="1">
      <c r="A312" s="1479">
        <v>51046</v>
      </c>
      <c r="B312" s="1343" t="s">
        <v>1293</v>
      </c>
      <c r="C312" s="1348">
        <v>14838000</v>
      </c>
      <c r="D312" s="1348">
        <v>11683000</v>
      </c>
      <c r="E312" s="1347">
        <v>3155000</v>
      </c>
      <c r="F312" s="1539">
        <v>14838000</v>
      </c>
      <c r="G312" s="1539"/>
      <c r="H312" s="1539"/>
      <c r="I312" s="1348">
        <f t="shared" si="149"/>
        <v>14838000</v>
      </c>
      <c r="J312" s="1351">
        <v>11683000</v>
      </c>
      <c r="K312" s="660">
        <v>3155000</v>
      </c>
      <c r="L312" s="1137">
        <v>14838000</v>
      </c>
      <c r="M312" s="1137"/>
      <c r="N312" s="1347"/>
      <c r="O312" s="1592">
        <f t="shared" si="150"/>
        <v>0</v>
      </c>
      <c r="P312" s="1252"/>
      <c r="Q312" s="1252"/>
      <c r="R312" s="1252"/>
      <c r="S312" s="1351">
        <f t="shared" si="151"/>
        <v>11833692</v>
      </c>
      <c r="T312" s="1351">
        <v>11683000</v>
      </c>
      <c r="U312" s="660">
        <v>150692</v>
      </c>
      <c r="V312" s="451">
        <v>11833692</v>
      </c>
      <c r="W312" s="451">
        <f t="shared" si="153"/>
        <v>0</v>
      </c>
      <c r="X312" s="660">
        <f t="shared" si="154"/>
        <v>0</v>
      </c>
      <c r="Y312" s="1348">
        <f t="shared" si="152"/>
        <v>11827314</v>
      </c>
      <c r="Z312" s="1348">
        <v>11678442</v>
      </c>
      <c r="AA312" s="1347">
        <v>148872</v>
      </c>
      <c r="AB312" s="1137">
        <v>11827314</v>
      </c>
      <c r="AC312" s="1137"/>
      <c r="AD312" s="1347"/>
    </row>
    <row r="313" spans="1:30" s="293" customFormat="1" ht="14.25" customHeight="1">
      <c r="A313" s="1479">
        <v>51032</v>
      </c>
      <c r="B313" s="1343" t="s">
        <v>1294</v>
      </c>
      <c r="C313" s="1348">
        <v>443230000</v>
      </c>
      <c r="D313" s="1348">
        <v>349000000</v>
      </c>
      <c r="E313" s="1347">
        <v>94230000</v>
      </c>
      <c r="F313" s="1539">
        <v>443230000</v>
      </c>
      <c r="G313" s="1539"/>
      <c r="H313" s="1539"/>
      <c r="I313" s="1348">
        <f t="shared" si="149"/>
        <v>443230000</v>
      </c>
      <c r="J313" s="1351">
        <f>SUM(I313)/1.27</f>
        <v>349000000</v>
      </c>
      <c r="K313" s="660">
        <f>SUM(J313)*0.27</f>
        <v>94230000</v>
      </c>
      <c r="L313" s="1137">
        <v>443230000</v>
      </c>
      <c r="M313" s="1137"/>
      <c r="N313" s="1347"/>
      <c r="O313" s="1592">
        <f t="shared" si="150"/>
        <v>0</v>
      </c>
      <c r="P313" s="1252"/>
      <c r="Q313" s="1252"/>
      <c r="R313" s="1252"/>
      <c r="S313" s="1351">
        <f t="shared" si="151"/>
        <v>349000000</v>
      </c>
      <c r="T313" s="1351">
        <v>349000000</v>
      </c>
      <c r="U313" s="660">
        <v>0</v>
      </c>
      <c r="V313" s="451">
        <v>349000000</v>
      </c>
      <c r="W313" s="451">
        <f t="shared" si="153"/>
        <v>0</v>
      </c>
      <c r="X313" s="660">
        <f t="shared" si="154"/>
        <v>0</v>
      </c>
      <c r="Y313" s="1348">
        <f t="shared" si="152"/>
        <v>41291635</v>
      </c>
      <c r="Z313" s="1348">
        <v>41291635</v>
      </c>
      <c r="AA313" s="1347"/>
      <c r="AB313" s="1137">
        <v>41291635</v>
      </c>
      <c r="AC313" s="1137"/>
      <c r="AD313" s="1347"/>
    </row>
    <row r="314" spans="1:30" s="293" customFormat="1" ht="14.25" customHeight="1">
      <c r="A314" s="1479">
        <v>51019</v>
      </c>
      <c r="B314" s="1343" t="s">
        <v>1295</v>
      </c>
      <c r="C314" s="1348">
        <v>419000</v>
      </c>
      <c r="D314" s="1348">
        <v>330000</v>
      </c>
      <c r="E314" s="1347">
        <v>89000</v>
      </c>
      <c r="F314" s="1539">
        <v>419000</v>
      </c>
      <c r="G314" s="1539"/>
      <c r="H314" s="1539"/>
      <c r="I314" s="1348">
        <f t="shared" si="149"/>
        <v>419000</v>
      </c>
      <c r="J314" s="1351">
        <v>330000</v>
      </c>
      <c r="K314" s="660">
        <v>89000</v>
      </c>
      <c r="L314" s="1137">
        <v>419000</v>
      </c>
      <c r="M314" s="1137"/>
      <c r="N314" s="1347"/>
      <c r="O314" s="1592">
        <f t="shared" si="150"/>
        <v>0</v>
      </c>
      <c r="P314" s="1252"/>
      <c r="Q314" s="1252"/>
      <c r="R314" s="1252"/>
      <c r="S314" s="1351">
        <f t="shared" si="151"/>
        <v>419000</v>
      </c>
      <c r="T314" s="1351">
        <v>330000</v>
      </c>
      <c r="U314" s="660">
        <f>SUM(T314)*0.27-100</f>
        <v>89000</v>
      </c>
      <c r="V314" s="451">
        <f>SUM(L314+P314)</f>
        <v>419000</v>
      </c>
      <c r="W314" s="451">
        <f t="shared" si="153"/>
        <v>0</v>
      </c>
      <c r="X314" s="660">
        <f t="shared" si="154"/>
        <v>0</v>
      </c>
      <c r="Y314" s="1348">
        <f t="shared" si="152"/>
        <v>419100</v>
      </c>
      <c r="Z314" s="1348">
        <v>330000</v>
      </c>
      <c r="AA314" s="1347">
        <v>89100</v>
      </c>
      <c r="AB314" s="1137">
        <v>419100</v>
      </c>
      <c r="AC314" s="1137"/>
      <c r="AD314" s="1347"/>
    </row>
    <row r="315" spans="1:30" s="293" customFormat="1" ht="14.25" customHeight="1">
      <c r="A315" s="1479">
        <v>51016</v>
      </c>
      <c r="B315" s="1343" t="s">
        <v>1296</v>
      </c>
      <c r="C315" s="1348">
        <v>17780000</v>
      </c>
      <c r="D315" s="1348">
        <v>14000000</v>
      </c>
      <c r="E315" s="1347">
        <v>3780000</v>
      </c>
      <c r="F315" s="1539">
        <v>17780000</v>
      </c>
      <c r="G315" s="1539"/>
      <c r="H315" s="1539"/>
      <c r="I315" s="1348">
        <f t="shared" si="149"/>
        <v>17780000</v>
      </c>
      <c r="J315" s="1351">
        <f>SUM(I315)/1.27</f>
        <v>14000000</v>
      </c>
      <c r="K315" s="660">
        <f>SUM(J315)*0.27</f>
        <v>3780000</v>
      </c>
      <c r="L315" s="1137">
        <v>17780000</v>
      </c>
      <c r="M315" s="1137"/>
      <c r="N315" s="1347"/>
      <c r="O315" s="1592">
        <f t="shared" si="150"/>
        <v>0</v>
      </c>
      <c r="P315" s="1252"/>
      <c r="Q315" s="1252"/>
      <c r="R315" s="1252"/>
      <c r="S315" s="1351">
        <f t="shared" si="151"/>
        <v>14000000</v>
      </c>
      <c r="T315" s="1351">
        <v>14000000</v>
      </c>
      <c r="U315" s="660">
        <v>0</v>
      </c>
      <c r="V315" s="451">
        <v>14000000</v>
      </c>
      <c r="W315" s="451">
        <f t="shared" si="153"/>
        <v>0</v>
      </c>
      <c r="X315" s="660">
        <f t="shared" si="154"/>
        <v>0</v>
      </c>
      <c r="Y315" s="1348">
        <f t="shared" si="152"/>
        <v>14000000</v>
      </c>
      <c r="Z315" s="1348">
        <v>14000000</v>
      </c>
      <c r="AA315" s="1347"/>
      <c r="AB315" s="1137">
        <v>14000000</v>
      </c>
      <c r="AC315" s="1137"/>
      <c r="AD315" s="1347"/>
    </row>
    <row r="316" spans="1:30" s="293" customFormat="1" ht="14.25" customHeight="1">
      <c r="A316" s="1479">
        <v>51030</v>
      </c>
      <c r="B316" s="1343" t="s">
        <v>1297</v>
      </c>
      <c r="C316" s="1348">
        <v>1270000</v>
      </c>
      <c r="D316" s="1348">
        <v>1000000</v>
      </c>
      <c r="E316" s="1347">
        <v>270000</v>
      </c>
      <c r="F316" s="1539">
        <v>1270000</v>
      </c>
      <c r="G316" s="1539"/>
      <c r="H316" s="1539"/>
      <c r="I316" s="1348">
        <f t="shared" si="149"/>
        <v>1270000</v>
      </c>
      <c r="J316" s="1351">
        <f>SUM(I316)/1.27</f>
        <v>1000000</v>
      </c>
      <c r="K316" s="660">
        <f>SUM(J316)*0.27</f>
        <v>270000</v>
      </c>
      <c r="L316" s="1137">
        <v>1270000</v>
      </c>
      <c r="M316" s="1137"/>
      <c r="N316" s="1347"/>
      <c r="O316" s="1592">
        <f t="shared" si="150"/>
        <v>0</v>
      </c>
      <c r="P316" s="1252"/>
      <c r="Q316" s="1252"/>
      <c r="R316" s="1252"/>
      <c r="S316" s="1351">
        <f t="shared" si="151"/>
        <v>1270000</v>
      </c>
      <c r="T316" s="1351">
        <f>SUM(S316)/1.27</f>
        <v>1000000</v>
      </c>
      <c r="U316" s="660">
        <f>SUM(T316)*0.27</f>
        <v>270000</v>
      </c>
      <c r="V316" s="451">
        <f>SUM(L316+P316)</f>
        <v>1270000</v>
      </c>
      <c r="W316" s="451">
        <f t="shared" si="153"/>
        <v>0</v>
      </c>
      <c r="X316" s="660">
        <f t="shared" si="154"/>
        <v>0</v>
      </c>
      <c r="Y316" s="1348">
        <f t="shared" si="152"/>
        <v>1597660</v>
      </c>
      <c r="Z316" s="1348">
        <v>1597660</v>
      </c>
      <c r="AA316" s="1347"/>
      <c r="AB316" s="1137">
        <v>1597660</v>
      </c>
      <c r="AC316" s="1137"/>
      <c r="AD316" s="1347"/>
    </row>
    <row r="317" spans="1:30" s="293" customFormat="1" ht="14.25" customHeight="1">
      <c r="A317" s="1479">
        <v>51045</v>
      </c>
      <c r="B317" s="1343" t="s">
        <v>1298</v>
      </c>
      <c r="C317" s="1348">
        <v>5000000</v>
      </c>
      <c r="D317" s="1348">
        <v>3937000</v>
      </c>
      <c r="E317" s="1347">
        <v>1063000</v>
      </c>
      <c r="F317" s="1539">
        <v>5000000</v>
      </c>
      <c r="G317" s="1539"/>
      <c r="H317" s="1539"/>
      <c r="I317" s="1348">
        <f t="shared" si="149"/>
        <v>5000000</v>
      </c>
      <c r="J317" s="1351">
        <v>3937000</v>
      </c>
      <c r="K317" s="660">
        <v>1063000</v>
      </c>
      <c r="L317" s="1137">
        <v>5000000</v>
      </c>
      <c r="M317" s="1137"/>
      <c r="N317" s="1347"/>
      <c r="O317" s="1592">
        <f t="shared" si="150"/>
        <v>0</v>
      </c>
      <c r="P317" s="1252"/>
      <c r="Q317" s="1252"/>
      <c r="R317" s="1252"/>
      <c r="S317" s="1351">
        <f t="shared" si="151"/>
        <v>5000000</v>
      </c>
      <c r="T317" s="1351">
        <f>SUM(S317)/1.27-8</f>
        <v>3937000</v>
      </c>
      <c r="U317" s="660">
        <f>SUM(T317)*0.27+10</f>
        <v>1063000</v>
      </c>
      <c r="V317" s="451">
        <f>SUM(L317+P317)</f>
        <v>5000000</v>
      </c>
      <c r="W317" s="451">
        <f t="shared" si="153"/>
        <v>0</v>
      </c>
      <c r="X317" s="660">
        <f t="shared" si="154"/>
        <v>0</v>
      </c>
      <c r="Y317" s="1348">
        <f t="shared" si="152"/>
        <v>0</v>
      </c>
      <c r="Z317" s="1348"/>
      <c r="AA317" s="1347"/>
      <c r="AB317" s="1137"/>
      <c r="AC317" s="1137"/>
      <c r="AD317" s="1347"/>
    </row>
    <row r="318" spans="1:30" s="293" customFormat="1" ht="14.25" customHeight="1">
      <c r="A318" s="1479">
        <v>51028</v>
      </c>
      <c r="B318" s="1343" t="s">
        <v>1299</v>
      </c>
      <c r="C318" s="1348">
        <v>550259000</v>
      </c>
      <c r="D318" s="1348">
        <v>433275000</v>
      </c>
      <c r="E318" s="1347">
        <v>116984000</v>
      </c>
      <c r="F318" s="1539">
        <v>550259000</v>
      </c>
      <c r="G318" s="1539"/>
      <c r="H318" s="1539"/>
      <c r="I318" s="1348">
        <f t="shared" si="149"/>
        <v>550259000</v>
      </c>
      <c r="J318" s="1351">
        <v>433275000</v>
      </c>
      <c r="K318" s="660">
        <v>116984000</v>
      </c>
      <c r="L318" s="1137">
        <v>550259000</v>
      </c>
      <c r="M318" s="1137"/>
      <c r="N318" s="1347"/>
      <c r="O318" s="1592">
        <f t="shared" si="150"/>
        <v>0</v>
      </c>
      <c r="P318" s="1252"/>
      <c r="Q318" s="1252"/>
      <c r="R318" s="1252"/>
      <c r="S318" s="1351">
        <f t="shared" si="151"/>
        <v>437539249</v>
      </c>
      <c r="T318" s="1351">
        <v>433275000</v>
      </c>
      <c r="U318" s="660">
        <v>105712025</v>
      </c>
      <c r="V318" s="451">
        <v>437539249</v>
      </c>
      <c r="W318" s="451">
        <f t="shared" si="153"/>
        <v>0</v>
      </c>
      <c r="X318" s="660">
        <f t="shared" si="154"/>
        <v>0</v>
      </c>
      <c r="Y318" s="1348">
        <f t="shared" si="152"/>
        <v>146118196</v>
      </c>
      <c r="Z318" s="1348">
        <v>146118196</v>
      </c>
      <c r="AA318" s="1347"/>
      <c r="AB318" s="1137">
        <v>146118196</v>
      </c>
      <c r="AC318" s="1137"/>
      <c r="AD318" s="1347"/>
    </row>
    <row r="319" spans="1:30" s="293" customFormat="1" ht="14.25" customHeight="1">
      <c r="A319" s="1479">
        <v>61028</v>
      </c>
      <c r="B319" s="1343" t="s">
        <v>1300</v>
      </c>
      <c r="C319" s="1348">
        <v>6350000</v>
      </c>
      <c r="D319" s="1348">
        <v>5000000</v>
      </c>
      <c r="E319" s="1347">
        <v>1350000</v>
      </c>
      <c r="F319" s="1539">
        <v>6350000</v>
      </c>
      <c r="G319" s="1539"/>
      <c r="H319" s="1539"/>
      <c r="I319" s="1348">
        <f t="shared" si="149"/>
        <v>6350000</v>
      </c>
      <c r="J319" s="1351">
        <f t="shared" ref="J319:J326" si="155">SUM(I319)/1.27</f>
        <v>5000000</v>
      </c>
      <c r="K319" s="1347">
        <f t="shared" ref="K319:K326" si="156">SUM(J319)*0.27</f>
        <v>1350000</v>
      </c>
      <c r="L319" s="1137">
        <v>6350000</v>
      </c>
      <c r="M319" s="1137"/>
      <c r="N319" s="1347"/>
      <c r="O319" s="1592">
        <f t="shared" si="150"/>
        <v>0</v>
      </c>
      <c r="P319" s="1252"/>
      <c r="Q319" s="1252"/>
      <c r="R319" s="1252"/>
      <c r="S319" s="1351">
        <f t="shared" si="151"/>
        <v>5104140</v>
      </c>
      <c r="T319" s="1351">
        <v>4550504</v>
      </c>
      <c r="U319" s="660">
        <v>553636</v>
      </c>
      <c r="V319" s="451">
        <v>5104140</v>
      </c>
      <c r="W319" s="451">
        <f t="shared" si="153"/>
        <v>0</v>
      </c>
      <c r="X319" s="660">
        <f t="shared" si="154"/>
        <v>0</v>
      </c>
      <c r="Y319" s="1348">
        <f t="shared" si="152"/>
        <v>5104140</v>
      </c>
      <c r="Z319" s="1348">
        <v>4550504</v>
      </c>
      <c r="AA319" s="1347">
        <v>553636</v>
      </c>
      <c r="AB319" s="1137">
        <v>5104140</v>
      </c>
      <c r="AC319" s="1137"/>
      <c r="AD319" s="1347"/>
    </row>
    <row r="320" spans="1:30" s="293" customFormat="1" ht="14.25" customHeight="1">
      <c r="A320" s="1479">
        <v>61029</v>
      </c>
      <c r="B320" s="1343" t="s">
        <v>1301</v>
      </c>
      <c r="C320" s="1348">
        <v>20320000</v>
      </c>
      <c r="D320" s="1348">
        <v>16000000</v>
      </c>
      <c r="E320" s="1347">
        <v>4320000</v>
      </c>
      <c r="F320" s="1539">
        <v>20320000</v>
      </c>
      <c r="G320" s="1539"/>
      <c r="H320" s="1539"/>
      <c r="I320" s="1348">
        <f t="shared" si="149"/>
        <v>20320000</v>
      </c>
      <c r="J320" s="1351">
        <f t="shared" si="155"/>
        <v>16000000</v>
      </c>
      <c r="K320" s="1347">
        <f t="shared" si="156"/>
        <v>4320000</v>
      </c>
      <c r="L320" s="1137">
        <v>20320000</v>
      </c>
      <c r="M320" s="1137"/>
      <c r="N320" s="1347"/>
      <c r="O320" s="1592">
        <f t="shared" si="150"/>
        <v>0</v>
      </c>
      <c r="P320" s="1252"/>
      <c r="Q320" s="1252"/>
      <c r="R320" s="1252"/>
      <c r="S320" s="1351">
        <f t="shared" si="151"/>
        <v>20320000</v>
      </c>
      <c r="T320" s="1351">
        <f t="shared" ref="T320:T326" si="157">SUM(S320)/1.27</f>
        <v>16000000</v>
      </c>
      <c r="U320" s="660">
        <f t="shared" ref="U320:U326" si="158">SUM(T320)*0.27</f>
        <v>4320000</v>
      </c>
      <c r="V320" s="451">
        <f>SUM(L320+P320)</f>
        <v>20320000</v>
      </c>
      <c r="W320" s="451">
        <f t="shared" si="153"/>
        <v>0</v>
      </c>
      <c r="X320" s="660">
        <f t="shared" si="154"/>
        <v>0</v>
      </c>
      <c r="Y320" s="1348">
        <f t="shared" si="152"/>
        <v>0</v>
      </c>
      <c r="Z320" s="1348"/>
      <c r="AA320" s="1347"/>
      <c r="AB320" s="1137"/>
      <c r="AC320" s="1137"/>
      <c r="AD320" s="1347"/>
    </row>
    <row r="321" spans="1:30" s="293" customFormat="1" ht="14.25" hidden="1" customHeight="1">
      <c r="A321" s="1479"/>
      <c r="B321" s="1343" t="s">
        <v>1300</v>
      </c>
      <c r="C321" s="1348">
        <v>0</v>
      </c>
      <c r="D321" s="1348">
        <v>0</v>
      </c>
      <c r="E321" s="1347">
        <v>0</v>
      </c>
      <c r="F321" s="1539"/>
      <c r="G321" s="1539"/>
      <c r="H321" s="1539"/>
      <c r="I321" s="1348">
        <f t="shared" si="149"/>
        <v>0</v>
      </c>
      <c r="J321" s="1351">
        <f t="shared" si="155"/>
        <v>0</v>
      </c>
      <c r="K321" s="1347">
        <f t="shared" si="156"/>
        <v>0</v>
      </c>
      <c r="L321" s="1137"/>
      <c r="M321" s="1137"/>
      <c r="N321" s="1347"/>
      <c r="O321" s="1592">
        <f t="shared" si="150"/>
        <v>0</v>
      </c>
      <c r="P321" s="1252"/>
      <c r="Q321" s="1252"/>
      <c r="R321" s="1252"/>
      <c r="S321" s="1351">
        <f t="shared" si="151"/>
        <v>0</v>
      </c>
      <c r="T321" s="1351">
        <f t="shared" si="157"/>
        <v>0</v>
      </c>
      <c r="U321" s="660">
        <f t="shared" si="158"/>
        <v>0</v>
      </c>
      <c r="V321" s="451">
        <f>SUM(L321+P321)</f>
        <v>0</v>
      </c>
      <c r="W321" s="451">
        <f t="shared" si="153"/>
        <v>0</v>
      </c>
      <c r="X321" s="660">
        <f t="shared" si="154"/>
        <v>0</v>
      </c>
      <c r="Y321" s="1348">
        <f t="shared" si="152"/>
        <v>0</v>
      </c>
      <c r="Z321" s="1348"/>
      <c r="AA321" s="1347"/>
      <c r="AB321" s="1137"/>
      <c r="AC321" s="1137"/>
      <c r="AD321" s="1347"/>
    </row>
    <row r="322" spans="1:30" s="293" customFormat="1" ht="14.25" hidden="1" customHeight="1">
      <c r="A322" s="1479"/>
      <c r="B322" s="1343" t="s">
        <v>1301</v>
      </c>
      <c r="C322" s="1348">
        <v>0</v>
      </c>
      <c r="D322" s="1348">
        <v>0</v>
      </c>
      <c r="E322" s="1347">
        <v>0</v>
      </c>
      <c r="F322" s="1539"/>
      <c r="G322" s="1539"/>
      <c r="H322" s="1539"/>
      <c r="I322" s="1348">
        <f t="shared" si="149"/>
        <v>0</v>
      </c>
      <c r="J322" s="1351">
        <f t="shared" si="155"/>
        <v>0</v>
      </c>
      <c r="K322" s="1347">
        <f t="shared" si="156"/>
        <v>0</v>
      </c>
      <c r="L322" s="1137"/>
      <c r="M322" s="1137"/>
      <c r="N322" s="1347"/>
      <c r="O322" s="1592">
        <f t="shared" si="150"/>
        <v>0</v>
      </c>
      <c r="P322" s="1252"/>
      <c r="Q322" s="1252"/>
      <c r="R322" s="1252"/>
      <c r="S322" s="1351">
        <f t="shared" si="151"/>
        <v>0</v>
      </c>
      <c r="T322" s="1351">
        <f t="shared" si="157"/>
        <v>0</v>
      </c>
      <c r="U322" s="660">
        <f t="shared" si="158"/>
        <v>0</v>
      </c>
      <c r="V322" s="451">
        <f>SUM(L322+P322)</f>
        <v>0</v>
      </c>
      <c r="W322" s="451">
        <f t="shared" si="153"/>
        <v>0</v>
      </c>
      <c r="X322" s="660">
        <f t="shared" si="154"/>
        <v>0</v>
      </c>
      <c r="Y322" s="1348">
        <f t="shared" si="152"/>
        <v>0</v>
      </c>
      <c r="Z322" s="1348"/>
      <c r="AA322" s="1347"/>
      <c r="AB322" s="1137"/>
      <c r="AC322" s="1137"/>
      <c r="AD322" s="1347"/>
    </row>
    <row r="323" spans="1:30" s="293" customFormat="1" ht="13.5" customHeight="1">
      <c r="A323" s="1479">
        <v>51030</v>
      </c>
      <c r="B323" s="1343" t="s">
        <v>1302</v>
      </c>
      <c r="C323" s="1348">
        <v>0</v>
      </c>
      <c r="D323" s="1348">
        <v>0</v>
      </c>
      <c r="E323" s="1347">
        <v>0</v>
      </c>
      <c r="F323" s="1539"/>
      <c r="G323" s="1539"/>
      <c r="H323" s="1539"/>
      <c r="I323" s="1348">
        <f t="shared" si="149"/>
        <v>327660</v>
      </c>
      <c r="J323" s="1351">
        <f t="shared" si="155"/>
        <v>258000</v>
      </c>
      <c r="K323" s="1347">
        <f t="shared" si="156"/>
        <v>69660</v>
      </c>
      <c r="L323" s="1137">
        <v>327660</v>
      </c>
      <c r="M323" s="1137"/>
      <c r="N323" s="1347"/>
      <c r="O323" s="1592">
        <f t="shared" si="150"/>
        <v>0</v>
      </c>
      <c r="P323" s="1252"/>
      <c r="Q323" s="1252"/>
      <c r="R323" s="1252"/>
      <c r="S323" s="1351">
        <f t="shared" si="151"/>
        <v>327660</v>
      </c>
      <c r="T323" s="1351">
        <f t="shared" si="157"/>
        <v>258000</v>
      </c>
      <c r="U323" s="660">
        <f t="shared" si="158"/>
        <v>69660</v>
      </c>
      <c r="V323" s="451">
        <f>SUM(L323+P323)</f>
        <v>327660</v>
      </c>
      <c r="W323" s="451">
        <f t="shared" si="153"/>
        <v>0</v>
      </c>
      <c r="X323" s="660">
        <f t="shared" si="154"/>
        <v>0</v>
      </c>
      <c r="Y323" s="1348">
        <f t="shared" si="152"/>
        <v>1597660</v>
      </c>
      <c r="Z323" s="1348">
        <v>1258000</v>
      </c>
      <c r="AA323" s="1347">
        <v>339660</v>
      </c>
      <c r="AB323" s="1137">
        <v>1597660</v>
      </c>
      <c r="AC323" s="1137"/>
      <c r="AD323" s="1347"/>
    </row>
    <row r="324" spans="1:30" s="293" customFormat="1" ht="14.85" customHeight="1">
      <c r="A324" s="1479">
        <v>61030</v>
      </c>
      <c r="B324" s="1343" t="s">
        <v>1303</v>
      </c>
      <c r="C324" s="1348">
        <v>0</v>
      </c>
      <c r="D324" s="1348">
        <v>0</v>
      </c>
      <c r="E324" s="1347">
        <v>0</v>
      </c>
      <c r="F324" s="1539"/>
      <c r="G324" s="1539"/>
      <c r="H324" s="1539"/>
      <c r="I324" s="1348">
        <f t="shared" si="149"/>
        <v>27432000</v>
      </c>
      <c r="J324" s="1351">
        <f t="shared" si="155"/>
        <v>21600000</v>
      </c>
      <c r="K324" s="1347">
        <f t="shared" si="156"/>
        <v>5832000</v>
      </c>
      <c r="L324" s="1137">
        <v>27432000</v>
      </c>
      <c r="M324" s="1137"/>
      <c r="N324" s="1347"/>
      <c r="O324" s="1592">
        <f t="shared" si="150"/>
        <v>0</v>
      </c>
      <c r="P324" s="1252"/>
      <c r="Q324" s="1252"/>
      <c r="R324" s="1252"/>
      <c r="S324" s="1351">
        <f t="shared" si="151"/>
        <v>0</v>
      </c>
      <c r="T324" s="1351">
        <f t="shared" si="157"/>
        <v>0</v>
      </c>
      <c r="U324" s="660">
        <f t="shared" si="158"/>
        <v>0</v>
      </c>
      <c r="V324" s="451">
        <v>0</v>
      </c>
      <c r="W324" s="451">
        <f t="shared" si="153"/>
        <v>0</v>
      </c>
      <c r="X324" s="660">
        <f t="shared" si="154"/>
        <v>0</v>
      </c>
      <c r="Y324" s="1348">
        <f t="shared" si="152"/>
        <v>0</v>
      </c>
      <c r="Z324" s="1348"/>
      <c r="AA324" s="1347"/>
      <c r="AB324" s="1137"/>
      <c r="AC324" s="1137"/>
      <c r="AD324" s="1347"/>
    </row>
    <row r="325" spans="1:30" s="293" customFormat="1" ht="13.5" customHeight="1">
      <c r="A325" s="1479">
        <v>61031</v>
      </c>
      <c r="B325" s="1343" t="s">
        <v>1304</v>
      </c>
      <c r="C325" s="1348">
        <v>0</v>
      </c>
      <c r="D325" s="1348">
        <v>0</v>
      </c>
      <c r="E325" s="1347">
        <v>0</v>
      </c>
      <c r="F325" s="1539"/>
      <c r="G325" s="1539"/>
      <c r="H325" s="1539"/>
      <c r="I325" s="1348">
        <f t="shared" si="149"/>
        <v>5080000</v>
      </c>
      <c r="J325" s="1351">
        <f t="shared" si="155"/>
        <v>4000000</v>
      </c>
      <c r="K325" s="1347">
        <f t="shared" si="156"/>
        <v>1080000</v>
      </c>
      <c r="L325" s="1137">
        <v>5080000</v>
      </c>
      <c r="M325" s="1137"/>
      <c r="N325" s="1347"/>
      <c r="O325" s="1592">
        <f t="shared" si="150"/>
        <v>0</v>
      </c>
      <c r="P325" s="1252"/>
      <c r="Q325" s="1252"/>
      <c r="R325" s="1252"/>
      <c r="S325" s="1351">
        <f t="shared" si="151"/>
        <v>5080000</v>
      </c>
      <c r="T325" s="1351">
        <f t="shared" si="157"/>
        <v>4000000</v>
      </c>
      <c r="U325" s="660">
        <f t="shared" si="158"/>
        <v>1080000</v>
      </c>
      <c r="V325" s="451">
        <f>SUM(L325+P325)</f>
        <v>5080000</v>
      </c>
      <c r="W325" s="451">
        <f t="shared" si="153"/>
        <v>0</v>
      </c>
      <c r="X325" s="660">
        <f t="shared" si="154"/>
        <v>0</v>
      </c>
      <c r="Y325" s="1348">
        <f t="shared" si="152"/>
        <v>5080000</v>
      </c>
      <c r="Z325" s="1348">
        <v>4000000</v>
      </c>
      <c r="AA325" s="1347">
        <v>1080000</v>
      </c>
      <c r="AB325" s="1137">
        <v>5080000</v>
      </c>
      <c r="AC325" s="1137"/>
      <c r="AD325" s="1347"/>
    </row>
    <row r="326" spans="1:30" s="293" customFormat="1" ht="14.25" customHeight="1">
      <c r="A326" s="1479">
        <v>61032</v>
      </c>
      <c r="B326" s="1343" t="s">
        <v>1305</v>
      </c>
      <c r="C326" s="1348">
        <v>0</v>
      </c>
      <c r="D326" s="1348">
        <v>0</v>
      </c>
      <c r="E326" s="1347">
        <v>0</v>
      </c>
      <c r="F326" s="1539"/>
      <c r="G326" s="1539"/>
      <c r="H326" s="1539"/>
      <c r="I326" s="1348">
        <f t="shared" si="149"/>
        <v>3810000</v>
      </c>
      <c r="J326" s="1351">
        <f t="shared" si="155"/>
        <v>3000000</v>
      </c>
      <c r="K326" s="1347">
        <f t="shared" si="156"/>
        <v>810000</v>
      </c>
      <c r="L326" s="1137">
        <v>3810000</v>
      </c>
      <c r="M326" s="1137"/>
      <c r="N326" s="1347"/>
      <c r="O326" s="1592">
        <f t="shared" si="150"/>
        <v>0</v>
      </c>
      <c r="P326" s="1252"/>
      <c r="Q326" s="1252"/>
      <c r="R326" s="1252"/>
      <c r="S326" s="1351">
        <f t="shared" si="151"/>
        <v>5486400</v>
      </c>
      <c r="T326" s="1351">
        <f t="shared" si="157"/>
        <v>4320000</v>
      </c>
      <c r="U326" s="660">
        <f t="shared" si="158"/>
        <v>1166400</v>
      </c>
      <c r="V326" s="451">
        <v>5486400</v>
      </c>
      <c r="W326" s="451">
        <f t="shared" si="153"/>
        <v>0</v>
      </c>
      <c r="X326" s="660">
        <f t="shared" si="154"/>
        <v>0</v>
      </c>
      <c r="Y326" s="1348">
        <f t="shared" si="152"/>
        <v>0</v>
      </c>
      <c r="Z326" s="1348"/>
      <c r="AA326" s="1347"/>
      <c r="AB326" s="1137"/>
      <c r="AC326" s="1137"/>
      <c r="AD326" s="1347"/>
    </row>
    <row r="327" spans="1:30" s="293" customFormat="1" ht="14.25" customHeight="1">
      <c r="A327" s="1479">
        <v>61033</v>
      </c>
      <c r="B327" s="1343" t="s">
        <v>1306</v>
      </c>
      <c r="C327" s="1348">
        <v>0</v>
      </c>
      <c r="D327" s="1348">
        <v>0</v>
      </c>
      <c r="E327" s="1347">
        <v>0</v>
      </c>
      <c r="F327" s="1539"/>
      <c r="G327" s="1539"/>
      <c r="H327" s="1539"/>
      <c r="I327" s="1348">
        <f t="shared" si="149"/>
        <v>15408000</v>
      </c>
      <c r="J327" s="1348">
        <v>12132260</v>
      </c>
      <c r="K327" s="1347">
        <v>3275740</v>
      </c>
      <c r="L327" s="1137">
        <v>15408000</v>
      </c>
      <c r="M327" s="1137"/>
      <c r="N327" s="1347"/>
      <c r="O327" s="1592">
        <f t="shared" si="150"/>
        <v>2152501</v>
      </c>
      <c r="P327" s="1252">
        <v>2152501</v>
      </c>
      <c r="Q327" s="1252"/>
      <c r="R327" s="1252"/>
      <c r="S327" s="1351">
        <f t="shared" si="151"/>
        <v>13827143</v>
      </c>
      <c r="T327" s="1351">
        <v>13827143</v>
      </c>
      <c r="U327" s="660">
        <v>0</v>
      </c>
      <c r="V327" s="451">
        <v>13827143</v>
      </c>
      <c r="W327" s="451">
        <f t="shared" si="153"/>
        <v>0</v>
      </c>
      <c r="X327" s="660">
        <f t="shared" si="154"/>
        <v>0</v>
      </c>
      <c r="Y327" s="1348">
        <f t="shared" si="152"/>
        <v>13827143</v>
      </c>
      <c r="Z327" s="1348">
        <v>13827143</v>
      </c>
      <c r="AA327" s="1347"/>
      <c r="AB327" s="1137">
        <v>13827143</v>
      </c>
      <c r="AC327" s="1137"/>
      <c r="AD327" s="1347"/>
    </row>
    <row r="328" spans="1:30" s="293" customFormat="1" ht="14.25" customHeight="1">
      <c r="A328" s="1479">
        <v>61034</v>
      </c>
      <c r="B328" s="1343" t="s">
        <v>1307</v>
      </c>
      <c r="C328" s="1348">
        <v>0</v>
      </c>
      <c r="D328" s="1348">
        <v>0</v>
      </c>
      <c r="E328" s="1347">
        <v>0</v>
      </c>
      <c r="F328" s="1539"/>
      <c r="G328" s="1539"/>
      <c r="H328" s="1539"/>
      <c r="I328" s="1348">
        <f t="shared" si="149"/>
        <v>10160000</v>
      </c>
      <c r="J328" s="1351">
        <f t="shared" ref="J328:J361" si="159">SUM(I328)/1.27</f>
        <v>8000000</v>
      </c>
      <c r="K328" s="1347">
        <f t="shared" ref="K328:K361" si="160">SUM(J328)*0.27</f>
        <v>2160000</v>
      </c>
      <c r="L328" s="1137">
        <v>10160000</v>
      </c>
      <c r="M328" s="1137"/>
      <c r="N328" s="1347"/>
      <c r="O328" s="1592">
        <f t="shared" si="150"/>
        <v>0</v>
      </c>
      <c r="P328" s="1252"/>
      <c r="Q328" s="1252"/>
      <c r="R328" s="1252"/>
      <c r="S328" s="1351">
        <f t="shared" si="151"/>
        <v>8986835</v>
      </c>
      <c r="T328" s="1351">
        <f t="shared" ref="T328:T337" si="161">SUM(S328)/1.27</f>
        <v>7076248</v>
      </c>
      <c r="U328" s="660">
        <f t="shared" ref="U328:U337" si="162">SUM(T328)*0.27</f>
        <v>1910587</v>
      </c>
      <c r="V328" s="451">
        <v>8986835</v>
      </c>
      <c r="W328" s="451">
        <f t="shared" si="153"/>
        <v>0</v>
      </c>
      <c r="X328" s="660">
        <f t="shared" si="154"/>
        <v>0</v>
      </c>
      <c r="Y328" s="1348">
        <f t="shared" si="152"/>
        <v>8986835</v>
      </c>
      <c r="Z328" s="1348">
        <v>7076248</v>
      </c>
      <c r="AA328" s="1347">
        <v>1910587</v>
      </c>
      <c r="AB328" s="1137">
        <v>8986835</v>
      </c>
      <c r="AC328" s="1137"/>
      <c r="AD328" s="1347"/>
    </row>
    <row r="329" spans="1:30" s="293" customFormat="1" ht="14.25" customHeight="1">
      <c r="A329" s="1479">
        <v>61035</v>
      </c>
      <c r="B329" s="1343" t="s">
        <v>1308</v>
      </c>
      <c r="C329" s="1348">
        <v>0</v>
      </c>
      <c r="D329" s="1348">
        <v>0</v>
      </c>
      <c r="E329" s="1347">
        <v>0</v>
      </c>
      <c r="F329" s="1539"/>
      <c r="G329" s="1539"/>
      <c r="H329" s="1539"/>
      <c r="I329" s="1348">
        <f t="shared" si="149"/>
        <v>1905000</v>
      </c>
      <c r="J329" s="1351">
        <f t="shared" si="159"/>
        <v>1500000</v>
      </c>
      <c r="K329" s="1347">
        <f t="shared" si="160"/>
        <v>405000</v>
      </c>
      <c r="L329" s="1137">
        <v>1905000</v>
      </c>
      <c r="M329" s="1137"/>
      <c r="N329" s="1347"/>
      <c r="O329" s="1592">
        <f t="shared" si="150"/>
        <v>0</v>
      </c>
      <c r="P329" s="1252"/>
      <c r="Q329" s="1252"/>
      <c r="R329" s="1252"/>
      <c r="S329" s="1351">
        <f t="shared" si="151"/>
        <v>1905000</v>
      </c>
      <c r="T329" s="1351">
        <f t="shared" si="161"/>
        <v>1500000</v>
      </c>
      <c r="U329" s="660">
        <f t="shared" si="162"/>
        <v>405000</v>
      </c>
      <c r="V329" s="451">
        <v>1905000</v>
      </c>
      <c r="W329" s="451">
        <f t="shared" si="153"/>
        <v>0</v>
      </c>
      <c r="X329" s="660">
        <f t="shared" si="154"/>
        <v>0</v>
      </c>
      <c r="Y329" s="1348">
        <f t="shared" si="152"/>
        <v>342900</v>
      </c>
      <c r="Z329" s="1348">
        <v>270000</v>
      </c>
      <c r="AA329" s="1347">
        <v>72900</v>
      </c>
      <c r="AB329" s="1137">
        <v>342900</v>
      </c>
      <c r="AC329" s="1137"/>
      <c r="AD329" s="1347"/>
    </row>
    <row r="330" spans="1:30" s="293" customFormat="1" ht="14.1" customHeight="1">
      <c r="A330" s="1479">
        <v>61036</v>
      </c>
      <c r="B330" s="1343" t="s">
        <v>1309</v>
      </c>
      <c r="C330" s="1348">
        <v>0</v>
      </c>
      <c r="D330" s="1348">
        <v>0</v>
      </c>
      <c r="E330" s="1347">
        <v>0</v>
      </c>
      <c r="F330" s="1539"/>
      <c r="G330" s="1539"/>
      <c r="H330" s="1539"/>
      <c r="I330" s="1348">
        <f t="shared" si="149"/>
        <v>4445000</v>
      </c>
      <c r="J330" s="1351">
        <f t="shared" si="159"/>
        <v>3500000</v>
      </c>
      <c r="K330" s="1347">
        <f t="shared" si="160"/>
        <v>945000</v>
      </c>
      <c r="L330" s="1137">
        <v>4445000</v>
      </c>
      <c r="M330" s="1137"/>
      <c r="N330" s="1347"/>
      <c r="O330" s="1592">
        <f t="shared" si="150"/>
        <v>0</v>
      </c>
      <c r="P330" s="1252"/>
      <c r="Q330" s="1252"/>
      <c r="R330" s="1252"/>
      <c r="S330" s="1351">
        <f t="shared" si="151"/>
        <v>0</v>
      </c>
      <c r="T330" s="1351">
        <f t="shared" si="161"/>
        <v>0</v>
      </c>
      <c r="U330" s="660">
        <f t="shared" si="162"/>
        <v>0</v>
      </c>
      <c r="V330" s="451">
        <v>0</v>
      </c>
      <c r="W330" s="451">
        <f t="shared" si="153"/>
        <v>0</v>
      </c>
      <c r="X330" s="660">
        <f t="shared" si="154"/>
        <v>0</v>
      </c>
      <c r="Y330" s="1348">
        <f t="shared" si="152"/>
        <v>0</v>
      </c>
      <c r="Z330" s="1348"/>
      <c r="AA330" s="1347"/>
      <c r="AB330" s="1137"/>
      <c r="AC330" s="1137"/>
      <c r="AD330" s="1347"/>
    </row>
    <row r="331" spans="1:30" s="293" customFormat="1" ht="14.25" customHeight="1">
      <c r="A331" s="1479">
        <v>61037</v>
      </c>
      <c r="B331" s="1343" t="s">
        <v>1310</v>
      </c>
      <c r="C331" s="1348">
        <v>0</v>
      </c>
      <c r="D331" s="1348">
        <v>0</v>
      </c>
      <c r="E331" s="1347">
        <v>0</v>
      </c>
      <c r="F331" s="1539"/>
      <c r="G331" s="1539"/>
      <c r="H331" s="1539"/>
      <c r="I331" s="1348">
        <f t="shared" si="149"/>
        <v>2540000</v>
      </c>
      <c r="J331" s="1351">
        <f t="shared" si="159"/>
        <v>2000000</v>
      </c>
      <c r="K331" s="1347">
        <f t="shared" si="160"/>
        <v>540000</v>
      </c>
      <c r="L331" s="1137">
        <v>2540000</v>
      </c>
      <c r="M331" s="1137"/>
      <c r="N331" s="1347"/>
      <c r="O331" s="1592">
        <f t="shared" si="150"/>
        <v>0</v>
      </c>
      <c r="P331" s="1252"/>
      <c r="Q331" s="1252"/>
      <c r="R331" s="1252"/>
      <c r="S331" s="1351">
        <f t="shared" si="151"/>
        <v>2540000</v>
      </c>
      <c r="T331" s="1351">
        <f t="shared" si="161"/>
        <v>2000000</v>
      </c>
      <c r="U331" s="660">
        <f t="shared" si="162"/>
        <v>540000</v>
      </c>
      <c r="V331" s="451">
        <f>SUM(L331+P331)</f>
        <v>2540000</v>
      </c>
      <c r="W331" s="451">
        <f t="shared" si="153"/>
        <v>0</v>
      </c>
      <c r="X331" s="660">
        <f t="shared" si="154"/>
        <v>0</v>
      </c>
      <c r="Y331" s="1348">
        <f t="shared" si="152"/>
        <v>2301748</v>
      </c>
      <c r="Z331" s="1348">
        <v>1812400</v>
      </c>
      <c r="AA331" s="1347">
        <v>489348</v>
      </c>
      <c r="AB331" s="1137">
        <v>2301748</v>
      </c>
      <c r="AC331" s="1137"/>
      <c r="AD331" s="1347"/>
    </row>
    <row r="332" spans="1:30" s="293" customFormat="1" ht="15" customHeight="1">
      <c r="A332" s="1479">
        <v>61038</v>
      </c>
      <c r="B332" s="1343" t="s">
        <v>1311</v>
      </c>
      <c r="C332" s="1348">
        <v>0</v>
      </c>
      <c r="D332" s="1348">
        <v>0</v>
      </c>
      <c r="E332" s="1347">
        <v>0</v>
      </c>
      <c r="F332" s="1539"/>
      <c r="G332" s="1539"/>
      <c r="H332" s="1539"/>
      <c r="I332" s="1348">
        <f t="shared" si="149"/>
        <v>34290000</v>
      </c>
      <c r="J332" s="1348">
        <f t="shared" si="159"/>
        <v>27000000</v>
      </c>
      <c r="K332" s="1347">
        <f t="shared" si="160"/>
        <v>7290000</v>
      </c>
      <c r="L332" s="1137">
        <v>34290000</v>
      </c>
      <c r="M332" s="1137"/>
      <c r="N332" s="1347"/>
      <c r="O332" s="1592">
        <f t="shared" si="150"/>
        <v>0</v>
      </c>
      <c r="P332" s="1252"/>
      <c r="Q332" s="1252"/>
      <c r="R332" s="1252"/>
      <c r="S332" s="1351">
        <f t="shared" si="151"/>
        <v>34290000</v>
      </c>
      <c r="T332" s="1351">
        <f t="shared" si="161"/>
        <v>27000000</v>
      </c>
      <c r="U332" s="660">
        <f t="shared" si="162"/>
        <v>7290000</v>
      </c>
      <c r="V332" s="451">
        <f>SUM(L332+P332)</f>
        <v>34290000</v>
      </c>
      <c r="W332" s="451">
        <f t="shared" si="153"/>
        <v>0</v>
      </c>
      <c r="X332" s="660">
        <f t="shared" si="154"/>
        <v>0</v>
      </c>
      <c r="Y332" s="1348">
        <f t="shared" si="152"/>
        <v>29004647</v>
      </c>
      <c r="Z332" s="1348">
        <v>22838305</v>
      </c>
      <c r="AA332" s="1347">
        <v>6166342</v>
      </c>
      <c r="AB332" s="1137">
        <v>29004647</v>
      </c>
      <c r="AC332" s="1137"/>
      <c r="AD332" s="1347"/>
    </row>
    <row r="333" spans="1:30" s="293" customFormat="1" ht="15" customHeight="1">
      <c r="A333" s="1596">
        <v>61039</v>
      </c>
      <c r="B333" s="1343" t="s">
        <v>1312</v>
      </c>
      <c r="C333" s="1348">
        <v>0</v>
      </c>
      <c r="D333" s="1348">
        <v>0</v>
      </c>
      <c r="E333" s="1347">
        <v>0</v>
      </c>
      <c r="F333" s="1539"/>
      <c r="G333" s="1539"/>
      <c r="H333" s="1539"/>
      <c r="I333" s="1348">
        <f t="shared" si="149"/>
        <v>2540000</v>
      </c>
      <c r="J333" s="1348">
        <f t="shared" si="159"/>
        <v>2000000</v>
      </c>
      <c r="K333" s="1347">
        <f t="shared" si="160"/>
        <v>540000</v>
      </c>
      <c r="L333" s="1137">
        <v>2540000</v>
      </c>
      <c r="M333" s="1137"/>
      <c r="N333" s="1347"/>
      <c r="O333" s="1592">
        <f t="shared" si="150"/>
        <v>0</v>
      </c>
      <c r="P333" s="1252"/>
      <c r="Q333" s="1252"/>
      <c r="R333" s="1252"/>
      <c r="S333" s="1351">
        <f t="shared" si="151"/>
        <v>5080000</v>
      </c>
      <c r="T333" s="1351">
        <f t="shared" si="161"/>
        <v>4000000</v>
      </c>
      <c r="U333" s="660">
        <f t="shared" si="162"/>
        <v>1080000</v>
      </c>
      <c r="V333" s="451">
        <v>5080000</v>
      </c>
      <c r="W333" s="451">
        <f t="shared" si="153"/>
        <v>0</v>
      </c>
      <c r="X333" s="660">
        <f t="shared" si="154"/>
        <v>0</v>
      </c>
      <c r="Y333" s="1348">
        <f t="shared" si="152"/>
        <v>0</v>
      </c>
      <c r="Z333" s="1348"/>
      <c r="AA333" s="1347"/>
      <c r="AB333" s="1137"/>
      <c r="AC333" s="1137"/>
      <c r="AD333" s="1347"/>
    </row>
    <row r="334" spans="1:30" s="293" customFormat="1" ht="15" customHeight="1">
      <c r="A334" s="1479">
        <v>61040</v>
      </c>
      <c r="B334" s="1343" t="s">
        <v>1313</v>
      </c>
      <c r="C334" s="1348">
        <v>0</v>
      </c>
      <c r="D334" s="1348">
        <v>0</v>
      </c>
      <c r="E334" s="1347">
        <v>0</v>
      </c>
      <c r="F334" s="1539"/>
      <c r="G334" s="1539"/>
      <c r="H334" s="1539"/>
      <c r="I334" s="1348">
        <f t="shared" si="149"/>
        <v>3175000</v>
      </c>
      <c r="J334" s="1348">
        <f t="shared" si="159"/>
        <v>2500000</v>
      </c>
      <c r="K334" s="1347">
        <f t="shared" si="160"/>
        <v>675000</v>
      </c>
      <c r="L334" s="1137">
        <v>3175000</v>
      </c>
      <c r="M334" s="1137"/>
      <c r="N334" s="1347"/>
      <c r="O334" s="1592">
        <f t="shared" si="150"/>
        <v>0</v>
      </c>
      <c r="P334" s="1252"/>
      <c r="Q334" s="1252"/>
      <c r="R334" s="1252"/>
      <c r="S334" s="1351">
        <f t="shared" si="151"/>
        <v>3810000</v>
      </c>
      <c r="T334" s="1351">
        <f t="shared" si="161"/>
        <v>3000000</v>
      </c>
      <c r="U334" s="660">
        <f t="shared" si="162"/>
        <v>810000</v>
      </c>
      <c r="V334" s="451">
        <v>3810000</v>
      </c>
      <c r="W334" s="451">
        <f t="shared" si="153"/>
        <v>0</v>
      </c>
      <c r="X334" s="660">
        <f t="shared" si="154"/>
        <v>0</v>
      </c>
      <c r="Y334" s="1348">
        <f t="shared" si="152"/>
        <v>0</v>
      </c>
      <c r="Z334" s="1348"/>
      <c r="AA334" s="1347"/>
      <c r="AB334" s="1137"/>
      <c r="AC334" s="1137"/>
      <c r="AD334" s="1347"/>
    </row>
    <row r="335" spans="1:30" s="293" customFormat="1" ht="26.25" customHeight="1">
      <c r="A335" s="1479">
        <v>61041</v>
      </c>
      <c r="B335" s="1343" t="s">
        <v>1314</v>
      </c>
      <c r="C335" s="1348">
        <v>0</v>
      </c>
      <c r="D335" s="1348">
        <v>0</v>
      </c>
      <c r="E335" s="1347">
        <v>0</v>
      </c>
      <c r="F335" s="1539"/>
      <c r="G335" s="1539"/>
      <c r="H335" s="1539"/>
      <c r="I335" s="1348">
        <f t="shared" si="149"/>
        <v>2540000</v>
      </c>
      <c r="J335" s="1348">
        <f t="shared" si="159"/>
        <v>2000000</v>
      </c>
      <c r="K335" s="1347">
        <f t="shared" si="160"/>
        <v>540000</v>
      </c>
      <c r="L335" s="1137">
        <v>2540000</v>
      </c>
      <c r="M335" s="1137"/>
      <c r="N335" s="1347"/>
      <c r="O335" s="1592">
        <f t="shared" si="150"/>
        <v>0</v>
      </c>
      <c r="P335" s="1252"/>
      <c r="Q335" s="1252"/>
      <c r="R335" s="1252"/>
      <c r="S335" s="1351">
        <f t="shared" si="151"/>
        <v>2540000</v>
      </c>
      <c r="T335" s="1351">
        <f t="shared" si="161"/>
        <v>2000000</v>
      </c>
      <c r="U335" s="660">
        <f t="shared" si="162"/>
        <v>540000</v>
      </c>
      <c r="V335" s="451">
        <f>SUM(L335+P335)</f>
        <v>2540000</v>
      </c>
      <c r="W335" s="451">
        <f t="shared" si="153"/>
        <v>0</v>
      </c>
      <c r="X335" s="660">
        <f t="shared" si="154"/>
        <v>0</v>
      </c>
      <c r="Y335" s="1348">
        <f t="shared" si="152"/>
        <v>0</v>
      </c>
      <c r="Z335" s="1348"/>
      <c r="AA335" s="1347"/>
      <c r="AB335" s="1137"/>
      <c r="AC335" s="1137"/>
      <c r="AD335" s="1347"/>
    </row>
    <row r="336" spans="1:30" s="293" customFormat="1" ht="26.25" customHeight="1">
      <c r="A336" s="1479">
        <v>61042</v>
      </c>
      <c r="B336" s="1343" t="s">
        <v>1315</v>
      </c>
      <c r="C336" s="1348">
        <v>0</v>
      </c>
      <c r="D336" s="1348">
        <v>0</v>
      </c>
      <c r="E336" s="1347">
        <v>0</v>
      </c>
      <c r="F336" s="1539"/>
      <c r="G336" s="1539"/>
      <c r="H336" s="1539"/>
      <c r="I336" s="1348">
        <f t="shared" si="149"/>
        <v>669290</v>
      </c>
      <c r="J336" s="1348">
        <f t="shared" si="159"/>
        <v>527000</v>
      </c>
      <c r="K336" s="1347">
        <f t="shared" si="160"/>
        <v>142290</v>
      </c>
      <c r="L336" s="1137">
        <v>669290</v>
      </c>
      <c r="M336" s="1137"/>
      <c r="N336" s="1347"/>
      <c r="O336" s="1592">
        <f t="shared" si="150"/>
        <v>0</v>
      </c>
      <c r="P336" s="1252"/>
      <c r="Q336" s="1252"/>
      <c r="R336" s="1252"/>
      <c r="S336" s="1351">
        <f t="shared" si="151"/>
        <v>669290</v>
      </c>
      <c r="T336" s="1351">
        <f t="shared" si="161"/>
        <v>527000</v>
      </c>
      <c r="U336" s="660">
        <f t="shared" si="162"/>
        <v>142290</v>
      </c>
      <c r="V336" s="451">
        <f>SUM(L336+P336)</f>
        <v>669290</v>
      </c>
      <c r="W336" s="451">
        <f t="shared" si="153"/>
        <v>0</v>
      </c>
      <c r="X336" s="660">
        <f t="shared" si="154"/>
        <v>0</v>
      </c>
      <c r="Y336" s="1348">
        <f t="shared" si="152"/>
        <v>628234</v>
      </c>
      <c r="Z336" s="1348">
        <v>494673</v>
      </c>
      <c r="AA336" s="1347">
        <v>133561</v>
      </c>
      <c r="AB336" s="451">
        <v>628234</v>
      </c>
      <c r="AC336" s="451"/>
      <c r="AD336" s="660"/>
    </row>
    <row r="337" spans="1:30" s="293" customFormat="1" ht="15" customHeight="1">
      <c r="A337" s="1479">
        <v>61043</v>
      </c>
      <c r="B337" s="1343" t="s">
        <v>1316</v>
      </c>
      <c r="C337" s="1348">
        <v>0</v>
      </c>
      <c r="D337" s="1348">
        <v>0</v>
      </c>
      <c r="E337" s="1347">
        <v>0</v>
      </c>
      <c r="F337" s="1539"/>
      <c r="G337" s="1539"/>
      <c r="H337" s="1539"/>
      <c r="I337" s="1348">
        <f t="shared" si="149"/>
        <v>1524000</v>
      </c>
      <c r="J337" s="1348">
        <f t="shared" si="159"/>
        <v>1200000</v>
      </c>
      <c r="K337" s="1347">
        <f t="shared" si="160"/>
        <v>324000</v>
      </c>
      <c r="L337" s="1137">
        <v>1524000</v>
      </c>
      <c r="M337" s="1137"/>
      <c r="N337" s="1347"/>
      <c r="O337" s="1592">
        <f t="shared" si="150"/>
        <v>0</v>
      </c>
      <c r="P337" s="1252"/>
      <c r="Q337" s="1252"/>
      <c r="R337" s="1252"/>
      <c r="S337" s="1351">
        <f t="shared" si="151"/>
        <v>6604000</v>
      </c>
      <c r="T337" s="1351">
        <f t="shared" si="161"/>
        <v>5200000</v>
      </c>
      <c r="U337" s="660">
        <f t="shared" si="162"/>
        <v>1404000</v>
      </c>
      <c r="V337" s="451">
        <v>6604000</v>
      </c>
      <c r="W337" s="451">
        <f t="shared" si="153"/>
        <v>0</v>
      </c>
      <c r="X337" s="660">
        <f t="shared" si="154"/>
        <v>0</v>
      </c>
      <c r="Y337" s="1348">
        <f t="shared" si="152"/>
        <v>0</v>
      </c>
      <c r="Z337" s="1348"/>
      <c r="AA337" s="1347"/>
      <c r="AB337" s="451"/>
      <c r="AC337" s="451"/>
      <c r="AD337" s="660"/>
    </row>
    <row r="338" spans="1:30" s="293" customFormat="1" ht="15" customHeight="1">
      <c r="A338" s="1479">
        <v>61045</v>
      </c>
      <c r="B338" s="1343" t="s">
        <v>1317</v>
      </c>
      <c r="C338" s="1348">
        <v>0</v>
      </c>
      <c r="D338" s="1348">
        <v>0</v>
      </c>
      <c r="E338" s="1347">
        <v>0</v>
      </c>
      <c r="F338" s="1539"/>
      <c r="G338" s="1539"/>
      <c r="H338" s="1539"/>
      <c r="I338" s="1348">
        <f t="shared" si="149"/>
        <v>0</v>
      </c>
      <c r="J338" s="1348">
        <f t="shared" si="159"/>
        <v>0</v>
      </c>
      <c r="K338" s="1347">
        <f t="shared" si="160"/>
        <v>0</v>
      </c>
      <c r="L338" s="1137"/>
      <c r="M338" s="1137"/>
      <c r="N338" s="1347"/>
      <c r="O338" s="1592">
        <f t="shared" si="150"/>
        <v>45720000</v>
      </c>
      <c r="P338" s="1252">
        <v>45720000</v>
      </c>
      <c r="Q338" s="1252"/>
      <c r="R338" s="1252"/>
      <c r="S338" s="1351">
        <f t="shared" si="151"/>
        <v>63916352</v>
      </c>
      <c r="T338" s="1351">
        <v>63916352</v>
      </c>
      <c r="U338" s="660">
        <v>0</v>
      </c>
      <c r="V338" s="451">
        <v>63916352</v>
      </c>
      <c r="W338" s="451">
        <f t="shared" si="153"/>
        <v>0</v>
      </c>
      <c r="X338" s="660">
        <f t="shared" si="154"/>
        <v>0</v>
      </c>
      <c r="Y338" s="1348">
        <f t="shared" si="152"/>
        <v>0</v>
      </c>
      <c r="Z338" s="1348"/>
      <c r="AA338" s="1347"/>
      <c r="AB338" s="1137"/>
      <c r="AC338" s="1137"/>
      <c r="AD338" s="1347"/>
    </row>
    <row r="339" spans="1:30" s="293" customFormat="1" ht="15" customHeight="1">
      <c r="A339" s="1479">
        <v>61046</v>
      </c>
      <c r="B339" s="1343" t="s">
        <v>1318</v>
      </c>
      <c r="C339" s="1348">
        <v>0</v>
      </c>
      <c r="D339" s="1348">
        <v>0</v>
      </c>
      <c r="E339" s="1347">
        <v>0</v>
      </c>
      <c r="F339" s="1539"/>
      <c r="G339" s="1539"/>
      <c r="H339" s="1539"/>
      <c r="I339" s="1348">
        <f t="shared" ref="I339:I367" si="163">SUM(L339:N339)</f>
        <v>0</v>
      </c>
      <c r="J339" s="1348">
        <f t="shared" si="159"/>
        <v>0</v>
      </c>
      <c r="K339" s="1347">
        <f t="shared" si="160"/>
        <v>0</v>
      </c>
      <c r="L339" s="1137"/>
      <c r="M339" s="1137"/>
      <c r="N339" s="1347"/>
      <c r="O339" s="1592">
        <f t="shared" ref="O339:O367" si="164">SUM(P339:R339)</f>
        <v>6350000</v>
      </c>
      <c r="P339" s="1252">
        <v>6350000</v>
      </c>
      <c r="Q339" s="1252"/>
      <c r="R339" s="1252"/>
      <c r="S339" s="1351">
        <f t="shared" si="151"/>
        <v>6350000</v>
      </c>
      <c r="T339" s="1351">
        <f t="shared" ref="T339:T374" si="165">SUM(S339)/1.27</f>
        <v>5000000</v>
      </c>
      <c r="U339" s="660">
        <f t="shared" ref="U339:U371" si="166">SUM(T339)*0.27</f>
        <v>1350000</v>
      </c>
      <c r="V339" s="451">
        <f t="shared" ref="V339:V367" si="167">SUM(L339+P339)</f>
        <v>6350000</v>
      </c>
      <c r="W339" s="451">
        <f t="shared" si="153"/>
        <v>0</v>
      </c>
      <c r="X339" s="660">
        <f t="shared" si="154"/>
        <v>0</v>
      </c>
      <c r="Y339" s="1348">
        <f t="shared" si="152"/>
        <v>6350000</v>
      </c>
      <c r="Z339" s="1348">
        <v>5000000</v>
      </c>
      <c r="AA339" s="1347">
        <v>1350000</v>
      </c>
      <c r="AB339" s="1137">
        <v>6350000</v>
      </c>
      <c r="AC339" s="1137"/>
      <c r="AD339" s="1347"/>
    </row>
    <row r="340" spans="1:30" s="293" customFormat="1" ht="15" hidden="1" customHeight="1">
      <c r="A340" s="1479"/>
      <c r="B340" s="1343"/>
      <c r="C340" s="1348"/>
      <c r="D340" s="1348"/>
      <c r="E340" s="1347"/>
      <c r="F340" s="1539"/>
      <c r="G340" s="1539"/>
      <c r="H340" s="1539"/>
      <c r="I340" s="1348">
        <f t="shared" si="163"/>
        <v>0</v>
      </c>
      <c r="J340" s="1348">
        <f t="shared" si="159"/>
        <v>0</v>
      </c>
      <c r="K340" s="1347">
        <f t="shared" si="160"/>
        <v>0</v>
      </c>
      <c r="L340" s="1137"/>
      <c r="M340" s="1137"/>
      <c r="N340" s="1347"/>
      <c r="O340" s="1592">
        <f t="shared" si="164"/>
        <v>0</v>
      </c>
      <c r="P340" s="1252"/>
      <c r="Q340" s="1252"/>
      <c r="R340" s="1252"/>
      <c r="S340" s="1351">
        <f t="shared" ref="S340:S375" si="168">SUM(V340:X340)</f>
        <v>0</v>
      </c>
      <c r="T340" s="1351">
        <f t="shared" si="165"/>
        <v>0</v>
      </c>
      <c r="U340" s="660">
        <f t="shared" si="166"/>
        <v>0</v>
      </c>
      <c r="V340" s="451">
        <f t="shared" si="167"/>
        <v>0</v>
      </c>
      <c r="W340" s="451">
        <f t="shared" si="153"/>
        <v>0</v>
      </c>
      <c r="X340" s="660">
        <f t="shared" si="154"/>
        <v>0</v>
      </c>
      <c r="Y340" s="1348"/>
      <c r="Z340" s="1348"/>
      <c r="AA340" s="1347"/>
      <c r="AB340" s="1137"/>
      <c r="AC340" s="1137"/>
      <c r="AD340" s="1347"/>
    </row>
    <row r="341" spans="1:30" s="293" customFormat="1" ht="15" hidden="1" customHeight="1">
      <c r="A341" s="1479"/>
      <c r="B341" s="1343"/>
      <c r="C341" s="1348"/>
      <c r="D341" s="1348"/>
      <c r="E341" s="1347"/>
      <c r="F341" s="1539"/>
      <c r="G341" s="1539"/>
      <c r="H341" s="1539"/>
      <c r="I341" s="1348">
        <f t="shared" si="163"/>
        <v>0</v>
      </c>
      <c r="J341" s="1348">
        <f t="shared" si="159"/>
        <v>0</v>
      </c>
      <c r="K341" s="1347">
        <f t="shared" si="160"/>
        <v>0</v>
      </c>
      <c r="L341" s="1137"/>
      <c r="M341" s="1137"/>
      <c r="N341" s="1347"/>
      <c r="O341" s="1592">
        <f t="shared" si="164"/>
        <v>0</v>
      </c>
      <c r="P341" s="1252"/>
      <c r="Q341" s="1252"/>
      <c r="R341" s="1252"/>
      <c r="S341" s="1351">
        <f t="shared" si="168"/>
        <v>0</v>
      </c>
      <c r="T341" s="1351">
        <f t="shared" si="165"/>
        <v>0</v>
      </c>
      <c r="U341" s="660">
        <f t="shared" si="166"/>
        <v>0</v>
      </c>
      <c r="V341" s="451">
        <f t="shared" si="167"/>
        <v>0</v>
      </c>
      <c r="W341" s="451">
        <f t="shared" si="153"/>
        <v>0</v>
      </c>
      <c r="X341" s="660">
        <f t="shared" si="154"/>
        <v>0</v>
      </c>
      <c r="Y341" s="1348"/>
      <c r="Z341" s="1348"/>
      <c r="AA341" s="1347"/>
      <c r="AB341" s="1137"/>
      <c r="AC341" s="1137"/>
      <c r="AD341" s="1347"/>
    </row>
    <row r="342" spans="1:30" s="293" customFormat="1" ht="15" hidden="1" customHeight="1">
      <c r="A342" s="1479"/>
      <c r="B342" s="1343"/>
      <c r="C342" s="1348"/>
      <c r="D342" s="1348"/>
      <c r="E342" s="1347"/>
      <c r="F342" s="1539"/>
      <c r="G342" s="1539"/>
      <c r="H342" s="1539"/>
      <c r="I342" s="1348">
        <f t="shared" si="163"/>
        <v>0</v>
      </c>
      <c r="J342" s="1348">
        <f t="shared" si="159"/>
        <v>0</v>
      </c>
      <c r="K342" s="1347">
        <f t="shared" si="160"/>
        <v>0</v>
      </c>
      <c r="L342" s="1137"/>
      <c r="M342" s="1137"/>
      <c r="N342" s="1347"/>
      <c r="O342" s="1592">
        <f t="shared" si="164"/>
        <v>0</v>
      </c>
      <c r="P342" s="1252"/>
      <c r="Q342" s="1252"/>
      <c r="R342" s="1252"/>
      <c r="S342" s="1351">
        <f t="shared" si="168"/>
        <v>0</v>
      </c>
      <c r="T342" s="1351">
        <f t="shared" si="165"/>
        <v>0</v>
      </c>
      <c r="U342" s="660">
        <f t="shared" si="166"/>
        <v>0</v>
      </c>
      <c r="V342" s="451">
        <f t="shared" si="167"/>
        <v>0</v>
      </c>
      <c r="W342" s="451">
        <f t="shared" ref="W342:W367" si="169">SUM(M342+Q342)</f>
        <v>0</v>
      </c>
      <c r="X342" s="660">
        <f t="shared" ref="X342:X367" si="170">SUM(N342+R342)</f>
        <v>0</v>
      </c>
      <c r="Y342" s="1348"/>
      <c r="Z342" s="1348"/>
      <c r="AA342" s="1347"/>
      <c r="AB342" s="1137"/>
      <c r="AC342" s="1137"/>
      <c r="AD342" s="1347"/>
    </row>
    <row r="343" spans="1:30" s="293" customFormat="1" ht="15" hidden="1" customHeight="1">
      <c r="A343" s="1479"/>
      <c r="B343" s="1343"/>
      <c r="C343" s="1348"/>
      <c r="D343" s="1348"/>
      <c r="E343" s="1347"/>
      <c r="F343" s="1539"/>
      <c r="G343" s="1539"/>
      <c r="H343" s="1539"/>
      <c r="I343" s="1348">
        <f t="shared" si="163"/>
        <v>0</v>
      </c>
      <c r="J343" s="1348">
        <f t="shared" si="159"/>
        <v>0</v>
      </c>
      <c r="K343" s="1347">
        <f t="shared" si="160"/>
        <v>0</v>
      </c>
      <c r="L343" s="1137"/>
      <c r="M343" s="1137"/>
      <c r="N343" s="1347"/>
      <c r="O343" s="1592">
        <f t="shared" si="164"/>
        <v>0</v>
      </c>
      <c r="P343" s="1252"/>
      <c r="Q343" s="1252"/>
      <c r="R343" s="1252"/>
      <c r="S343" s="1351">
        <f t="shared" si="168"/>
        <v>0</v>
      </c>
      <c r="T343" s="1351">
        <f t="shared" si="165"/>
        <v>0</v>
      </c>
      <c r="U343" s="660">
        <f t="shared" si="166"/>
        <v>0</v>
      </c>
      <c r="V343" s="451">
        <f t="shared" si="167"/>
        <v>0</v>
      </c>
      <c r="W343" s="451">
        <f t="shared" si="169"/>
        <v>0</v>
      </c>
      <c r="X343" s="660">
        <f t="shared" si="170"/>
        <v>0</v>
      </c>
      <c r="Y343" s="1348"/>
      <c r="Z343" s="1348"/>
      <c r="AA343" s="1347"/>
      <c r="AB343" s="1137"/>
      <c r="AC343" s="1137"/>
      <c r="AD343" s="1347"/>
    </row>
    <row r="344" spans="1:30" s="293" customFormat="1" ht="15" hidden="1" customHeight="1">
      <c r="A344" s="1479"/>
      <c r="B344" s="1343"/>
      <c r="C344" s="1348"/>
      <c r="D344" s="1348"/>
      <c r="E344" s="1347"/>
      <c r="F344" s="1539"/>
      <c r="G344" s="1539"/>
      <c r="H344" s="1539"/>
      <c r="I344" s="1348">
        <f t="shared" si="163"/>
        <v>0</v>
      </c>
      <c r="J344" s="1348">
        <f t="shared" si="159"/>
        <v>0</v>
      </c>
      <c r="K344" s="1347">
        <f t="shared" si="160"/>
        <v>0</v>
      </c>
      <c r="L344" s="1137"/>
      <c r="M344" s="1137"/>
      <c r="N344" s="1347"/>
      <c r="O344" s="1592">
        <f t="shared" si="164"/>
        <v>0</v>
      </c>
      <c r="P344" s="1252"/>
      <c r="Q344" s="1252"/>
      <c r="R344" s="1252"/>
      <c r="S344" s="1351">
        <f t="shared" si="168"/>
        <v>0</v>
      </c>
      <c r="T344" s="1351">
        <f t="shared" si="165"/>
        <v>0</v>
      </c>
      <c r="U344" s="660">
        <f t="shared" si="166"/>
        <v>0</v>
      </c>
      <c r="V344" s="451">
        <f t="shared" si="167"/>
        <v>0</v>
      </c>
      <c r="W344" s="451">
        <f t="shared" si="169"/>
        <v>0</v>
      </c>
      <c r="X344" s="660">
        <f t="shared" si="170"/>
        <v>0</v>
      </c>
      <c r="Y344" s="1348"/>
      <c r="Z344" s="1348"/>
      <c r="AA344" s="1347"/>
      <c r="AB344" s="1137"/>
      <c r="AC344" s="1137"/>
      <c r="AD344" s="1347"/>
    </row>
    <row r="345" spans="1:30" s="293" customFormat="1" ht="15" hidden="1" customHeight="1">
      <c r="A345" s="1479"/>
      <c r="B345" s="1343"/>
      <c r="C345" s="1348"/>
      <c r="D345" s="1348"/>
      <c r="E345" s="1347"/>
      <c r="F345" s="1539"/>
      <c r="G345" s="1539"/>
      <c r="H345" s="1539"/>
      <c r="I345" s="1348">
        <f t="shared" si="163"/>
        <v>0</v>
      </c>
      <c r="J345" s="1348">
        <f t="shared" si="159"/>
        <v>0</v>
      </c>
      <c r="K345" s="1347">
        <f t="shared" si="160"/>
        <v>0</v>
      </c>
      <c r="L345" s="1137"/>
      <c r="M345" s="1137"/>
      <c r="N345" s="1347"/>
      <c r="O345" s="1592">
        <f t="shared" si="164"/>
        <v>0</v>
      </c>
      <c r="P345" s="1252"/>
      <c r="Q345" s="1252"/>
      <c r="R345" s="1252"/>
      <c r="S345" s="1351">
        <f t="shared" si="168"/>
        <v>0</v>
      </c>
      <c r="T345" s="1351">
        <f t="shared" si="165"/>
        <v>0</v>
      </c>
      <c r="U345" s="660">
        <f t="shared" si="166"/>
        <v>0</v>
      </c>
      <c r="V345" s="451">
        <f t="shared" si="167"/>
        <v>0</v>
      </c>
      <c r="W345" s="451">
        <f t="shared" si="169"/>
        <v>0</v>
      </c>
      <c r="X345" s="660">
        <f t="shared" si="170"/>
        <v>0</v>
      </c>
      <c r="Y345" s="1348"/>
      <c r="Z345" s="1348"/>
      <c r="AA345" s="1347"/>
      <c r="AB345" s="1137"/>
      <c r="AC345" s="1137"/>
      <c r="AD345" s="1347"/>
    </row>
    <row r="346" spans="1:30" s="293" customFormat="1" ht="15" hidden="1" customHeight="1">
      <c r="A346" s="1479"/>
      <c r="B346" s="1343"/>
      <c r="C346" s="1348"/>
      <c r="D346" s="1348"/>
      <c r="E346" s="1347"/>
      <c r="F346" s="1539"/>
      <c r="G346" s="1539"/>
      <c r="H346" s="1539"/>
      <c r="I346" s="1348">
        <f t="shared" si="163"/>
        <v>0</v>
      </c>
      <c r="J346" s="1348">
        <f t="shared" si="159"/>
        <v>0</v>
      </c>
      <c r="K346" s="1347">
        <f t="shared" si="160"/>
        <v>0</v>
      </c>
      <c r="L346" s="1137"/>
      <c r="M346" s="1137"/>
      <c r="N346" s="1347"/>
      <c r="O346" s="1592">
        <f t="shared" si="164"/>
        <v>0</v>
      </c>
      <c r="P346" s="1252"/>
      <c r="Q346" s="1252"/>
      <c r="R346" s="1252"/>
      <c r="S346" s="1351">
        <f t="shared" si="168"/>
        <v>0</v>
      </c>
      <c r="T346" s="1351">
        <f t="shared" si="165"/>
        <v>0</v>
      </c>
      <c r="U346" s="660">
        <f t="shared" si="166"/>
        <v>0</v>
      </c>
      <c r="V346" s="451">
        <f t="shared" si="167"/>
        <v>0</v>
      </c>
      <c r="W346" s="451">
        <f t="shared" si="169"/>
        <v>0</v>
      </c>
      <c r="X346" s="660">
        <f t="shared" si="170"/>
        <v>0</v>
      </c>
      <c r="Y346" s="1348"/>
      <c r="Z346" s="1348"/>
      <c r="AA346" s="1347"/>
      <c r="AB346" s="1137"/>
      <c r="AC346" s="1137"/>
      <c r="AD346" s="1347"/>
    </row>
    <row r="347" spans="1:30" s="293" customFormat="1" ht="15" hidden="1" customHeight="1">
      <c r="A347" s="1479"/>
      <c r="B347" s="1343"/>
      <c r="C347" s="1348"/>
      <c r="D347" s="1348"/>
      <c r="E347" s="1347"/>
      <c r="F347" s="1539"/>
      <c r="G347" s="1539"/>
      <c r="H347" s="1539"/>
      <c r="I347" s="1348">
        <f t="shared" si="163"/>
        <v>0</v>
      </c>
      <c r="J347" s="1348">
        <f t="shared" si="159"/>
        <v>0</v>
      </c>
      <c r="K347" s="1347">
        <f t="shared" si="160"/>
        <v>0</v>
      </c>
      <c r="L347" s="1137"/>
      <c r="M347" s="1137"/>
      <c r="N347" s="1347"/>
      <c r="O347" s="1592">
        <f t="shared" si="164"/>
        <v>0</v>
      </c>
      <c r="P347" s="1252"/>
      <c r="Q347" s="1252"/>
      <c r="R347" s="1252"/>
      <c r="S347" s="1351">
        <f t="shared" si="168"/>
        <v>0</v>
      </c>
      <c r="T347" s="1351">
        <f t="shared" si="165"/>
        <v>0</v>
      </c>
      <c r="U347" s="660">
        <f t="shared" si="166"/>
        <v>0</v>
      </c>
      <c r="V347" s="451">
        <f t="shared" si="167"/>
        <v>0</v>
      </c>
      <c r="W347" s="451">
        <f t="shared" si="169"/>
        <v>0</v>
      </c>
      <c r="X347" s="660">
        <f t="shared" si="170"/>
        <v>0</v>
      </c>
      <c r="Y347" s="1348"/>
      <c r="Z347" s="1348"/>
      <c r="AA347" s="1347"/>
      <c r="AB347" s="1137"/>
      <c r="AC347" s="1137"/>
      <c r="AD347" s="1347"/>
    </row>
    <row r="348" spans="1:30" s="293" customFormat="1" ht="15" hidden="1" customHeight="1">
      <c r="A348" s="1479"/>
      <c r="B348" s="1343"/>
      <c r="C348" s="1348"/>
      <c r="D348" s="1348"/>
      <c r="E348" s="1347"/>
      <c r="F348" s="1539"/>
      <c r="G348" s="1539"/>
      <c r="H348" s="1539"/>
      <c r="I348" s="1348">
        <f t="shared" si="163"/>
        <v>0</v>
      </c>
      <c r="J348" s="1348">
        <f t="shared" si="159"/>
        <v>0</v>
      </c>
      <c r="K348" s="1347">
        <f t="shared" si="160"/>
        <v>0</v>
      </c>
      <c r="L348" s="1137"/>
      <c r="M348" s="1137"/>
      <c r="N348" s="1347"/>
      <c r="O348" s="1592">
        <f t="shared" si="164"/>
        <v>0</v>
      </c>
      <c r="P348" s="1252"/>
      <c r="Q348" s="1252"/>
      <c r="R348" s="1252"/>
      <c r="S348" s="1351">
        <f t="shared" si="168"/>
        <v>0</v>
      </c>
      <c r="T348" s="1351">
        <f t="shared" si="165"/>
        <v>0</v>
      </c>
      <c r="U348" s="660">
        <f t="shared" si="166"/>
        <v>0</v>
      </c>
      <c r="V348" s="451">
        <f t="shared" si="167"/>
        <v>0</v>
      </c>
      <c r="W348" s="451">
        <f t="shared" si="169"/>
        <v>0</v>
      </c>
      <c r="X348" s="660">
        <f t="shared" si="170"/>
        <v>0</v>
      </c>
      <c r="Y348" s="1348"/>
      <c r="Z348" s="1348"/>
      <c r="AA348" s="1347"/>
      <c r="AB348" s="1137"/>
      <c r="AC348" s="1137"/>
      <c r="AD348" s="1347"/>
    </row>
    <row r="349" spans="1:30" s="293" customFormat="1" ht="15" hidden="1" customHeight="1">
      <c r="A349" s="1479"/>
      <c r="B349" s="1343"/>
      <c r="C349" s="1348"/>
      <c r="D349" s="1348"/>
      <c r="E349" s="1347"/>
      <c r="F349" s="1539"/>
      <c r="G349" s="1539"/>
      <c r="H349" s="1539"/>
      <c r="I349" s="1348">
        <f t="shared" si="163"/>
        <v>0</v>
      </c>
      <c r="J349" s="1348">
        <f t="shared" si="159"/>
        <v>0</v>
      </c>
      <c r="K349" s="1347">
        <f t="shared" si="160"/>
        <v>0</v>
      </c>
      <c r="L349" s="1137"/>
      <c r="M349" s="1137"/>
      <c r="N349" s="1347"/>
      <c r="O349" s="1592">
        <f t="shared" si="164"/>
        <v>0</v>
      </c>
      <c r="P349" s="1252"/>
      <c r="Q349" s="1252"/>
      <c r="R349" s="1252"/>
      <c r="S349" s="1351">
        <f t="shared" si="168"/>
        <v>0</v>
      </c>
      <c r="T349" s="1351">
        <f t="shared" si="165"/>
        <v>0</v>
      </c>
      <c r="U349" s="660">
        <f t="shared" si="166"/>
        <v>0</v>
      </c>
      <c r="V349" s="451">
        <f t="shared" si="167"/>
        <v>0</v>
      </c>
      <c r="W349" s="451">
        <f t="shared" si="169"/>
        <v>0</v>
      </c>
      <c r="X349" s="660">
        <f t="shared" si="170"/>
        <v>0</v>
      </c>
      <c r="Y349" s="1348"/>
      <c r="Z349" s="1348"/>
      <c r="AA349" s="1347"/>
      <c r="AB349" s="1137"/>
      <c r="AC349" s="1137"/>
      <c r="AD349" s="1347"/>
    </row>
    <row r="350" spans="1:30" s="293" customFormat="1" ht="15" hidden="1" customHeight="1">
      <c r="A350" s="1479"/>
      <c r="B350" s="1343"/>
      <c r="C350" s="1348"/>
      <c r="D350" s="1348"/>
      <c r="E350" s="1347"/>
      <c r="F350" s="1539"/>
      <c r="G350" s="1539"/>
      <c r="H350" s="1539"/>
      <c r="I350" s="1348">
        <f t="shared" si="163"/>
        <v>0</v>
      </c>
      <c r="J350" s="1348">
        <f t="shared" si="159"/>
        <v>0</v>
      </c>
      <c r="K350" s="1347">
        <f t="shared" si="160"/>
        <v>0</v>
      </c>
      <c r="L350" s="1137"/>
      <c r="M350" s="1137"/>
      <c r="N350" s="1347"/>
      <c r="O350" s="1592">
        <f t="shared" si="164"/>
        <v>0</v>
      </c>
      <c r="P350" s="1252"/>
      <c r="Q350" s="1252"/>
      <c r="R350" s="1252"/>
      <c r="S350" s="1351">
        <f t="shared" si="168"/>
        <v>0</v>
      </c>
      <c r="T350" s="1351">
        <f t="shared" si="165"/>
        <v>0</v>
      </c>
      <c r="U350" s="660">
        <f t="shared" si="166"/>
        <v>0</v>
      </c>
      <c r="V350" s="451">
        <f t="shared" si="167"/>
        <v>0</v>
      </c>
      <c r="W350" s="451">
        <f t="shared" si="169"/>
        <v>0</v>
      </c>
      <c r="X350" s="660">
        <f t="shared" si="170"/>
        <v>0</v>
      </c>
      <c r="Y350" s="1348"/>
      <c r="Z350" s="1348"/>
      <c r="AA350" s="1347"/>
      <c r="AB350" s="1137"/>
      <c r="AC350" s="1137"/>
      <c r="AD350" s="1347"/>
    </row>
    <row r="351" spans="1:30" s="293" customFormat="1" ht="15" hidden="1" customHeight="1">
      <c r="A351" s="1479"/>
      <c r="B351" s="1343"/>
      <c r="C351" s="1348"/>
      <c r="D351" s="1348"/>
      <c r="E351" s="1347"/>
      <c r="F351" s="1539"/>
      <c r="G351" s="1539"/>
      <c r="H351" s="1539"/>
      <c r="I351" s="1348">
        <f t="shared" si="163"/>
        <v>0</v>
      </c>
      <c r="J351" s="1348">
        <f t="shared" si="159"/>
        <v>0</v>
      </c>
      <c r="K351" s="1347">
        <f t="shared" si="160"/>
        <v>0</v>
      </c>
      <c r="L351" s="1137"/>
      <c r="M351" s="1137"/>
      <c r="N351" s="1347"/>
      <c r="O351" s="1592">
        <f t="shared" si="164"/>
        <v>0</v>
      </c>
      <c r="P351" s="1252"/>
      <c r="Q351" s="1252"/>
      <c r="R351" s="1252"/>
      <c r="S351" s="1351">
        <f t="shared" si="168"/>
        <v>0</v>
      </c>
      <c r="T351" s="1351">
        <f t="shared" si="165"/>
        <v>0</v>
      </c>
      <c r="U351" s="660">
        <f t="shared" si="166"/>
        <v>0</v>
      </c>
      <c r="V351" s="451">
        <f t="shared" si="167"/>
        <v>0</v>
      </c>
      <c r="W351" s="451">
        <f t="shared" si="169"/>
        <v>0</v>
      </c>
      <c r="X351" s="660">
        <f t="shared" si="170"/>
        <v>0</v>
      </c>
      <c r="Y351" s="1348"/>
      <c r="Z351" s="1348"/>
      <c r="AA351" s="1347"/>
      <c r="AB351" s="1137"/>
      <c r="AC351" s="1137"/>
      <c r="AD351" s="1347"/>
    </row>
    <row r="352" spans="1:30" s="293" customFormat="1" ht="15" hidden="1" customHeight="1">
      <c r="A352" s="1479"/>
      <c r="B352" s="1343"/>
      <c r="C352" s="1348"/>
      <c r="D352" s="1348"/>
      <c r="E352" s="1347"/>
      <c r="F352" s="1539"/>
      <c r="G352" s="1539"/>
      <c r="H352" s="1539"/>
      <c r="I352" s="1348">
        <f t="shared" si="163"/>
        <v>0</v>
      </c>
      <c r="J352" s="1348">
        <f t="shared" si="159"/>
        <v>0</v>
      </c>
      <c r="K352" s="1347">
        <f t="shared" si="160"/>
        <v>0</v>
      </c>
      <c r="L352" s="1137"/>
      <c r="M352" s="1137"/>
      <c r="N352" s="1347"/>
      <c r="O352" s="1592">
        <f t="shared" si="164"/>
        <v>0</v>
      </c>
      <c r="P352" s="1252"/>
      <c r="Q352" s="1252"/>
      <c r="R352" s="1252"/>
      <c r="S352" s="1351">
        <f t="shared" si="168"/>
        <v>0</v>
      </c>
      <c r="T352" s="1351">
        <f t="shared" si="165"/>
        <v>0</v>
      </c>
      <c r="U352" s="660">
        <f t="shared" si="166"/>
        <v>0</v>
      </c>
      <c r="V352" s="451">
        <f t="shared" si="167"/>
        <v>0</v>
      </c>
      <c r="W352" s="451">
        <f t="shared" si="169"/>
        <v>0</v>
      </c>
      <c r="X352" s="660">
        <f t="shared" si="170"/>
        <v>0</v>
      </c>
      <c r="Y352" s="1348"/>
      <c r="Z352" s="1348"/>
      <c r="AA352" s="1347"/>
      <c r="AB352" s="1137"/>
      <c r="AC352" s="1137"/>
      <c r="AD352" s="1347"/>
    </row>
    <row r="353" spans="1:30" s="293" customFormat="1" ht="15" hidden="1" customHeight="1">
      <c r="A353" s="1479"/>
      <c r="B353" s="1343"/>
      <c r="C353" s="1348"/>
      <c r="D353" s="1348"/>
      <c r="E353" s="1347"/>
      <c r="F353" s="1539"/>
      <c r="G353" s="1539"/>
      <c r="H353" s="1539"/>
      <c r="I353" s="1348">
        <f t="shared" si="163"/>
        <v>0</v>
      </c>
      <c r="J353" s="1348">
        <f t="shared" si="159"/>
        <v>0</v>
      </c>
      <c r="K353" s="1347">
        <f t="shared" si="160"/>
        <v>0</v>
      </c>
      <c r="L353" s="1137"/>
      <c r="M353" s="1137"/>
      <c r="N353" s="1347"/>
      <c r="O353" s="1592">
        <f t="shared" si="164"/>
        <v>0</v>
      </c>
      <c r="P353" s="1252"/>
      <c r="Q353" s="1252"/>
      <c r="R353" s="1252"/>
      <c r="S353" s="1351">
        <f t="shared" si="168"/>
        <v>0</v>
      </c>
      <c r="T353" s="1351">
        <f t="shared" si="165"/>
        <v>0</v>
      </c>
      <c r="U353" s="660">
        <f t="shared" si="166"/>
        <v>0</v>
      </c>
      <c r="V353" s="451">
        <f t="shared" si="167"/>
        <v>0</v>
      </c>
      <c r="W353" s="451">
        <f t="shared" si="169"/>
        <v>0</v>
      </c>
      <c r="X353" s="660">
        <f t="shared" si="170"/>
        <v>0</v>
      </c>
      <c r="Y353" s="1348"/>
      <c r="Z353" s="1348"/>
      <c r="AA353" s="1347"/>
      <c r="AB353" s="1137"/>
      <c r="AC353" s="1137"/>
      <c r="AD353" s="1347"/>
    </row>
    <row r="354" spans="1:30" s="293" customFormat="1" ht="15" hidden="1" customHeight="1">
      <c r="A354" s="1479"/>
      <c r="B354" s="1343"/>
      <c r="C354" s="1348"/>
      <c r="D354" s="1348"/>
      <c r="E354" s="1347"/>
      <c r="F354" s="1539"/>
      <c r="G354" s="1539"/>
      <c r="H354" s="1539"/>
      <c r="I354" s="1348">
        <f t="shared" si="163"/>
        <v>0</v>
      </c>
      <c r="J354" s="1348">
        <f t="shared" si="159"/>
        <v>0</v>
      </c>
      <c r="K354" s="1347">
        <f t="shared" si="160"/>
        <v>0</v>
      </c>
      <c r="L354" s="1137"/>
      <c r="M354" s="1137"/>
      <c r="N354" s="1347"/>
      <c r="O354" s="1592">
        <f t="shared" si="164"/>
        <v>0</v>
      </c>
      <c r="P354" s="1252"/>
      <c r="Q354" s="1252"/>
      <c r="R354" s="1252"/>
      <c r="S354" s="1351">
        <f t="shared" si="168"/>
        <v>0</v>
      </c>
      <c r="T354" s="1351">
        <f t="shared" si="165"/>
        <v>0</v>
      </c>
      <c r="U354" s="660">
        <f t="shared" si="166"/>
        <v>0</v>
      </c>
      <c r="V354" s="451">
        <f t="shared" si="167"/>
        <v>0</v>
      </c>
      <c r="W354" s="451">
        <f t="shared" si="169"/>
        <v>0</v>
      </c>
      <c r="X354" s="660">
        <f t="shared" si="170"/>
        <v>0</v>
      </c>
      <c r="Y354" s="1348"/>
      <c r="Z354" s="1348"/>
      <c r="AA354" s="1347"/>
      <c r="AB354" s="1137"/>
      <c r="AC354" s="1137"/>
      <c r="AD354" s="1347"/>
    </row>
    <row r="355" spans="1:30" s="293" customFormat="1" ht="15" hidden="1" customHeight="1">
      <c r="A355" s="1479"/>
      <c r="B355" s="1343"/>
      <c r="C355" s="1348"/>
      <c r="D355" s="1348"/>
      <c r="E355" s="1347"/>
      <c r="F355" s="1539"/>
      <c r="G355" s="1539"/>
      <c r="H355" s="1539"/>
      <c r="I355" s="1348">
        <f t="shared" si="163"/>
        <v>0</v>
      </c>
      <c r="J355" s="1348">
        <f t="shared" si="159"/>
        <v>0</v>
      </c>
      <c r="K355" s="1347">
        <f t="shared" si="160"/>
        <v>0</v>
      </c>
      <c r="L355" s="1137"/>
      <c r="M355" s="1137"/>
      <c r="N355" s="1347"/>
      <c r="O355" s="1592">
        <f t="shared" si="164"/>
        <v>0</v>
      </c>
      <c r="P355" s="1252"/>
      <c r="Q355" s="1252"/>
      <c r="R355" s="1252"/>
      <c r="S355" s="1351">
        <f t="shared" si="168"/>
        <v>0</v>
      </c>
      <c r="T355" s="1351">
        <f t="shared" si="165"/>
        <v>0</v>
      </c>
      <c r="U355" s="660">
        <f t="shared" si="166"/>
        <v>0</v>
      </c>
      <c r="V355" s="451">
        <f t="shared" si="167"/>
        <v>0</v>
      </c>
      <c r="W355" s="451">
        <f t="shared" si="169"/>
        <v>0</v>
      </c>
      <c r="X355" s="660">
        <f t="shared" si="170"/>
        <v>0</v>
      </c>
      <c r="Y355" s="1348"/>
      <c r="Z355" s="1348"/>
      <c r="AA355" s="1347"/>
      <c r="AB355" s="1137"/>
      <c r="AC355" s="1137"/>
      <c r="AD355" s="1347"/>
    </row>
    <row r="356" spans="1:30" s="293" customFormat="1" ht="15" hidden="1" customHeight="1">
      <c r="A356" s="1479"/>
      <c r="B356" s="1343"/>
      <c r="C356" s="1348"/>
      <c r="D356" s="1348"/>
      <c r="E356" s="1347"/>
      <c r="F356" s="1539"/>
      <c r="G356" s="1539"/>
      <c r="H356" s="1539"/>
      <c r="I356" s="1348">
        <f t="shared" si="163"/>
        <v>0</v>
      </c>
      <c r="J356" s="1348">
        <f t="shared" si="159"/>
        <v>0</v>
      </c>
      <c r="K356" s="1347">
        <f t="shared" si="160"/>
        <v>0</v>
      </c>
      <c r="L356" s="1137"/>
      <c r="M356" s="1137"/>
      <c r="N356" s="1347"/>
      <c r="O356" s="1592">
        <f t="shared" si="164"/>
        <v>0</v>
      </c>
      <c r="P356" s="1252"/>
      <c r="Q356" s="1252"/>
      <c r="R356" s="1252"/>
      <c r="S356" s="1351">
        <f t="shared" si="168"/>
        <v>0</v>
      </c>
      <c r="T356" s="1351">
        <f t="shared" si="165"/>
        <v>0</v>
      </c>
      <c r="U356" s="660">
        <f t="shared" si="166"/>
        <v>0</v>
      </c>
      <c r="V356" s="451">
        <f t="shared" si="167"/>
        <v>0</v>
      </c>
      <c r="W356" s="451">
        <f t="shared" si="169"/>
        <v>0</v>
      </c>
      <c r="X356" s="660">
        <f t="shared" si="170"/>
        <v>0</v>
      </c>
      <c r="Y356" s="1348"/>
      <c r="Z356" s="1348"/>
      <c r="AA356" s="1347"/>
      <c r="AB356" s="1137"/>
      <c r="AC356" s="1137"/>
      <c r="AD356" s="1347"/>
    </row>
    <row r="357" spans="1:30" s="293" customFormat="1" ht="15" hidden="1" customHeight="1">
      <c r="A357" s="1479"/>
      <c r="B357" s="1343"/>
      <c r="C357" s="1348"/>
      <c r="D357" s="1348"/>
      <c r="E357" s="1347"/>
      <c r="F357" s="1539"/>
      <c r="G357" s="1539"/>
      <c r="H357" s="1539"/>
      <c r="I357" s="1348">
        <f t="shared" si="163"/>
        <v>0</v>
      </c>
      <c r="J357" s="1348">
        <f t="shared" si="159"/>
        <v>0</v>
      </c>
      <c r="K357" s="1347">
        <f t="shared" si="160"/>
        <v>0</v>
      </c>
      <c r="L357" s="1137"/>
      <c r="M357" s="1137"/>
      <c r="N357" s="1347"/>
      <c r="O357" s="1592">
        <f t="shared" si="164"/>
        <v>0</v>
      </c>
      <c r="P357" s="1252"/>
      <c r="Q357" s="1252"/>
      <c r="R357" s="1252"/>
      <c r="S357" s="1351">
        <f t="shared" si="168"/>
        <v>0</v>
      </c>
      <c r="T357" s="1351">
        <f t="shared" si="165"/>
        <v>0</v>
      </c>
      <c r="U357" s="660">
        <f t="shared" si="166"/>
        <v>0</v>
      </c>
      <c r="V357" s="451">
        <f t="shared" si="167"/>
        <v>0</v>
      </c>
      <c r="W357" s="451">
        <f t="shared" si="169"/>
        <v>0</v>
      </c>
      <c r="X357" s="660">
        <f t="shared" si="170"/>
        <v>0</v>
      </c>
      <c r="Y357" s="1348"/>
      <c r="Z357" s="1348"/>
      <c r="AA357" s="1347"/>
      <c r="AB357" s="1137"/>
      <c r="AC357" s="1137"/>
      <c r="AD357" s="1347"/>
    </row>
    <row r="358" spans="1:30" s="293" customFormat="1" ht="15" hidden="1" customHeight="1">
      <c r="A358" s="1479"/>
      <c r="B358" s="1343"/>
      <c r="C358" s="1348"/>
      <c r="D358" s="1348"/>
      <c r="E358" s="1347"/>
      <c r="F358" s="1539"/>
      <c r="G358" s="1539"/>
      <c r="H358" s="1539"/>
      <c r="I358" s="1348">
        <f t="shared" si="163"/>
        <v>0</v>
      </c>
      <c r="J358" s="1348">
        <f t="shared" si="159"/>
        <v>0</v>
      </c>
      <c r="K358" s="1347">
        <f t="shared" si="160"/>
        <v>0</v>
      </c>
      <c r="L358" s="1137"/>
      <c r="M358" s="1137"/>
      <c r="N358" s="1347"/>
      <c r="O358" s="1592">
        <f t="shared" si="164"/>
        <v>0</v>
      </c>
      <c r="P358" s="1252"/>
      <c r="Q358" s="1252"/>
      <c r="R358" s="1252"/>
      <c r="S358" s="1351">
        <f t="shared" si="168"/>
        <v>0</v>
      </c>
      <c r="T358" s="1351">
        <f t="shared" si="165"/>
        <v>0</v>
      </c>
      <c r="U358" s="660">
        <f t="shared" si="166"/>
        <v>0</v>
      </c>
      <c r="V358" s="451">
        <f t="shared" si="167"/>
        <v>0</v>
      </c>
      <c r="W358" s="451">
        <f t="shared" si="169"/>
        <v>0</v>
      </c>
      <c r="X358" s="660">
        <f t="shared" si="170"/>
        <v>0</v>
      </c>
      <c r="Y358" s="1348"/>
      <c r="Z358" s="1348"/>
      <c r="AA358" s="1347"/>
      <c r="AB358" s="1137"/>
      <c r="AC358" s="1137"/>
      <c r="AD358" s="1347"/>
    </row>
    <row r="359" spans="1:30" s="293" customFormat="1" ht="15" hidden="1" customHeight="1">
      <c r="A359" s="1479"/>
      <c r="B359" s="1343"/>
      <c r="C359" s="1348"/>
      <c r="D359" s="1348"/>
      <c r="E359" s="1347"/>
      <c r="F359" s="1539"/>
      <c r="G359" s="1539"/>
      <c r="H359" s="1539"/>
      <c r="I359" s="1348">
        <f t="shared" si="163"/>
        <v>0</v>
      </c>
      <c r="J359" s="1348">
        <f t="shared" si="159"/>
        <v>0</v>
      </c>
      <c r="K359" s="1347">
        <f t="shared" si="160"/>
        <v>0</v>
      </c>
      <c r="L359" s="1137"/>
      <c r="M359" s="1137"/>
      <c r="N359" s="1347"/>
      <c r="O359" s="1592">
        <f t="shared" si="164"/>
        <v>0</v>
      </c>
      <c r="P359" s="1252"/>
      <c r="Q359" s="1252"/>
      <c r="R359" s="1252"/>
      <c r="S359" s="1351">
        <f t="shared" si="168"/>
        <v>0</v>
      </c>
      <c r="T359" s="1351">
        <f t="shared" si="165"/>
        <v>0</v>
      </c>
      <c r="U359" s="660">
        <f t="shared" si="166"/>
        <v>0</v>
      </c>
      <c r="V359" s="451">
        <f t="shared" si="167"/>
        <v>0</v>
      </c>
      <c r="W359" s="451">
        <f t="shared" si="169"/>
        <v>0</v>
      </c>
      <c r="X359" s="660">
        <f t="shared" si="170"/>
        <v>0</v>
      </c>
      <c r="Y359" s="1348"/>
      <c r="Z359" s="1348"/>
      <c r="AA359" s="1347"/>
      <c r="AB359" s="1137"/>
      <c r="AC359" s="1137"/>
      <c r="AD359" s="1347"/>
    </row>
    <row r="360" spans="1:30" s="293" customFormat="1" ht="15" hidden="1" customHeight="1">
      <c r="A360" s="1479"/>
      <c r="B360" s="1343"/>
      <c r="C360" s="1348"/>
      <c r="D360" s="1348"/>
      <c r="E360" s="1347"/>
      <c r="F360" s="1539"/>
      <c r="G360" s="1539"/>
      <c r="H360" s="1539"/>
      <c r="I360" s="1348">
        <f t="shared" si="163"/>
        <v>0</v>
      </c>
      <c r="J360" s="1348">
        <f t="shared" si="159"/>
        <v>0</v>
      </c>
      <c r="K360" s="1347">
        <f t="shared" si="160"/>
        <v>0</v>
      </c>
      <c r="L360" s="1137"/>
      <c r="M360" s="1137"/>
      <c r="N360" s="1347"/>
      <c r="O360" s="1592">
        <f t="shared" si="164"/>
        <v>0</v>
      </c>
      <c r="P360" s="1252"/>
      <c r="Q360" s="1252"/>
      <c r="R360" s="1252"/>
      <c r="S360" s="1351">
        <f t="shared" si="168"/>
        <v>0</v>
      </c>
      <c r="T360" s="1351">
        <f t="shared" si="165"/>
        <v>0</v>
      </c>
      <c r="U360" s="660">
        <f t="shared" si="166"/>
        <v>0</v>
      </c>
      <c r="V360" s="451">
        <f t="shared" si="167"/>
        <v>0</v>
      </c>
      <c r="W360" s="451">
        <f t="shared" si="169"/>
        <v>0</v>
      </c>
      <c r="X360" s="660">
        <f t="shared" si="170"/>
        <v>0</v>
      </c>
      <c r="Y360" s="1348"/>
      <c r="Z360" s="1348"/>
      <c r="AA360" s="1347"/>
      <c r="AB360" s="1137"/>
      <c r="AC360" s="1137"/>
      <c r="AD360" s="1347"/>
    </row>
    <row r="361" spans="1:30" s="293" customFormat="1" ht="15" hidden="1" customHeight="1">
      <c r="A361" s="1479"/>
      <c r="B361" s="1343"/>
      <c r="C361" s="1348"/>
      <c r="D361" s="1348"/>
      <c r="E361" s="1347"/>
      <c r="F361" s="1539"/>
      <c r="G361" s="1539"/>
      <c r="H361" s="1539"/>
      <c r="I361" s="1348">
        <f t="shared" si="163"/>
        <v>0</v>
      </c>
      <c r="J361" s="1348">
        <f t="shared" si="159"/>
        <v>0</v>
      </c>
      <c r="K361" s="1347">
        <f t="shared" si="160"/>
        <v>0</v>
      </c>
      <c r="L361" s="1137"/>
      <c r="M361" s="1137"/>
      <c r="N361" s="1347"/>
      <c r="O361" s="1592">
        <f t="shared" si="164"/>
        <v>0</v>
      </c>
      <c r="P361" s="1252"/>
      <c r="Q361" s="1252"/>
      <c r="R361" s="1252"/>
      <c r="S361" s="1351">
        <f t="shared" si="168"/>
        <v>0</v>
      </c>
      <c r="T361" s="1351">
        <f t="shared" si="165"/>
        <v>0</v>
      </c>
      <c r="U361" s="660">
        <f t="shared" si="166"/>
        <v>0</v>
      </c>
      <c r="V361" s="451">
        <f t="shared" si="167"/>
        <v>0</v>
      </c>
      <c r="W361" s="451">
        <f t="shared" si="169"/>
        <v>0</v>
      </c>
      <c r="X361" s="660">
        <f t="shared" si="170"/>
        <v>0</v>
      </c>
      <c r="Y361" s="1348"/>
      <c r="Z361" s="1348"/>
      <c r="AA361" s="1347"/>
      <c r="AB361" s="1137"/>
      <c r="AC361" s="1137"/>
      <c r="AD361" s="1347"/>
    </row>
    <row r="362" spans="1:30" s="293" customFormat="1" ht="15" hidden="1" customHeight="1">
      <c r="A362" s="1479"/>
      <c r="B362" s="1343"/>
      <c r="C362" s="1348"/>
      <c r="D362" s="1348"/>
      <c r="E362" s="1347"/>
      <c r="F362" s="1539"/>
      <c r="G362" s="1539"/>
      <c r="H362" s="1539"/>
      <c r="I362" s="1348">
        <f t="shared" si="163"/>
        <v>0</v>
      </c>
      <c r="J362" s="1348">
        <f t="shared" ref="J362:J367" si="171">SUM(I362)/1.25</f>
        <v>0</v>
      </c>
      <c r="K362" s="1347">
        <f t="shared" ref="K362:K367" si="172">SUM(J362)*0.25</f>
        <v>0</v>
      </c>
      <c r="L362" s="1137"/>
      <c r="M362" s="1137"/>
      <c r="N362" s="1347"/>
      <c r="O362" s="1592">
        <f t="shared" si="164"/>
        <v>0</v>
      </c>
      <c r="P362" s="1252"/>
      <c r="Q362" s="1252"/>
      <c r="R362" s="1252"/>
      <c r="S362" s="1351">
        <f t="shared" si="168"/>
        <v>0</v>
      </c>
      <c r="T362" s="1351">
        <f t="shared" si="165"/>
        <v>0</v>
      </c>
      <c r="U362" s="660">
        <f t="shared" si="166"/>
        <v>0</v>
      </c>
      <c r="V362" s="451">
        <f t="shared" si="167"/>
        <v>0</v>
      </c>
      <c r="W362" s="451">
        <f t="shared" si="169"/>
        <v>0</v>
      </c>
      <c r="X362" s="660">
        <f t="shared" si="170"/>
        <v>0</v>
      </c>
      <c r="Y362" s="1348"/>
      <c r="Z362" s="1348"/>
      <c r="AA362" s="1347"/>
      <c r="AB362" s="1137"/>
      <c r="AC362" s="1137"/>
      <c r="AD362" s="1347"/>
    </row>
    <row r="363" spans="1:30" s="293" customFormat="1" ht="15" hidden="1" customHeight="1">
      <c r="A363" s="1479"/>
      <c r="B363" s="1343"/>
      <c r="C363" s="1348"/>
      <c r="D363" s="1348"/>
      <c r="E363" s="1347"/>
      <c r="F363" s="1539"/>
      <c r="G363" s="1539"/>
      <c r="H363" s="1539"/>
      <c r="I363" s="1348">
        <f t="shared" si="163"/>
        <v>0</v>
      </c>
      <c r="J363" s="1348">
        <f t="shared" si="171"/>
        <v>0</v>
      </c>
      <c r="K363" s="1347">
        <f t="shared" si="172"/>
        <v>0</v>
      </c>
      <c r="L363" s="1137"/>
      <c r="M363" s="1137"/>
      <c r="N363" s="1347"/>
      <c r="O363" s="1592">
        <f t="shared" si="164"/>
        <v>0</v>
      </c>
      <c r="P363" s="1252"/>
      <c r="Q363" s="1252"/>
      <c r="R363" s="1252"/>
      <c r="S363" s="1351">
        <f t="shared" si="168"/>
        <v>0</v>
      </c>
      <c r="T363" s="1351">
        <f t="shared" si="165"/>
        <v>0</v>
      </c>
      <c r="U363" s="660">
        <f t="shared" si="166"/>
        <v>0</v>
      </c>
      <c r="V363" s="451">
        <f t="shared" si="167"/>
        <v>0</v>
      </c>
      <c r="W363" s="451">
        <f t="shared" si="169"/>
        <v>0</v>
      </c>
      <c r="X363" s="660">
        <f t="shared" si="170"/>
        <v>0</v>
      </c>
      <c r="Y363" s="1348"/>
      <c r="Z363" s="1348"/>
      <c r="AA363" s="1347"/>
      <c r="AB363" s="1137"/>
      <c r="AC363" s="1137"/>
      <c r="AD363" s="1347"/>
    </row>
    <row r="364" spans="1:30" s="293" customFormat="1" ht="15" hidden="1" customHeight="1">
      <c r="A364" s="1479"/>
      <c r="B364" s="1343"/>
      <c r="C364" s="1348"/>
      <c r="D364" s="1348"/>
      <c r="E364" s="1347"/>
      <c r="F364" s="1539"/>
      <c r="G364" s="1539"/>
      <c r="H364" s="1539"/>
      <c r="I364" s="1348">
        <f t="shared" si="163"/>
        <v>0</v>
      </c>
      <c r="J364" s="1348">
        <f t="shared" si="171"/>
        <v>0</v>
      </c>
      <c r="K364" s="1347">
        <f t="shared" si="172"/>
        <v>0</v>
      </c>
      <c r="L364" s="1137"/>
      <c r="M364" s="1137"/>
      <c r="N364" s="1347"/>
      <c r="O364" s="1592">
        <f t="shared" si="164"/>
        <v>0</v>
      </c>
      <c r="P364" s="1252"/>
      <c r="Q364" s="1252"/>
      <c r="R364" s="1252"/>
      <c r="S364" s="1351">
        <f t="shared" si="168"/>
        <v>0</v>
      </c>
      <c r="T364" s="1351">
        <f t="shared" si="165"/>
        <v>0</v>
      </c>
      <c r="U364" s="660">
        <f t="shared" si="166"/>
        <v>0</v>
      </c>
      <c r="V364" s="451">
        <f t="shared" si="167"/>
        <v>0</v>
      </c>
      <c r="W364" s="451">
        <f t="shared" si="169"/>
        <v>0</v>
      </c>
      <c r="X364" s="660">
        <f t="shared" si="170"/>
        <v>0</v>
      </c>
      <c r="Y364" s="1348"/>
      <c r="Z364" s="1348"/>
      <c r="AA364" s="1347"/>
      <c r="AB364" s="1137"/>
      <c r="AC364" s="1137"/>
      <c r="AD364" s="1347"/>
    </row>
    <row r="365" spans="1:30" s="293" customFormat="1" ht="15" hidden="1" customHeight="1">
      <c r="A365" s="1479"/>
      <c r="B365" s="1343"/>
      <c r="C365" s="1348"/>
      <c r="D365" s="1348"/>
      <c r="E365" s="1347"/>
      <c r="F365" s="1539"/>
      <c r="G365" s="1539"/>
      <c r="H365" s="1539"/>
      <c r="I365" s="1348">
        <f t="shared" si="163"/>
        <v>0</v>
      </c>
      <c r="J365" s="1348">
        <f t="shared" si="171"/>
        <v>0</v>
      </c>
      <c r="K365" s="1347">
        <f t="shared" si="172"/>
        <v>0</v>
      </c>
      <c r="L365" s="1137"/>
      <c r="M365" s="1137"/>
      <c r="N365" s="1347"/>
      <c r="O365" s="1592">
        <f t="shared" si="164"/>
        <v>0</v>
      </c>
      <c r="P365" s="1252"/>
      <c r="Q365" s="1252"/>
      <c r="R365" s="1252"/>
      <c r="S365" s="1351">
        <f t="shared" si="168"/>
        <v>0</v>
      </c>
      <c r="T365" s="1351">
        <f t="shared" si="165"/>
        <v>0</v>
      </c>
      <c r="U365" s="660">
        <f t="shared" si="166"/>
        <v>0</v>
      </c>
      <c r="V365" s="451">
        <f t="shared" si="167"/>
        <v>0</v>
      </c>
      <c r="W365" s="451">
        <f t="shared" si="169"/>
        <v>0</v>
      </c>
      <c r="X365" s="660">
        <f t="shared" si="170"/>
        <v>0</v>
      </c>
      <c r="Y365" s="1348"/>
      <c r="Z365" s="1348"/>
      <c r="AA365" s="1347"/>
      <c r="AB365" s="1137"/>
      <c r="AC365" s="1137"/>
      <c r="AD365" s="1347"/>
    </row>
    <row r="366" spans="1:30" s="293" customFormat="1" ht="15" hidden="1" customHeight="1">
      <c r="A366" s="1479"/>
      <c r="B366" s="1343"/>
      <c r="C366" s="1348"/>
      <c r="D366" s="1348"/>
      <c r="E366" s="1347"/>
      <c r="F366" s="1539"/>
      <c r="G366" s="1539"/>
      <c r="H366" s="1539"/>
      <c r="I366" s="1348">
        <f t="shared" si="163"/>
        <v>0</v>
      </c>
      <c r="J366" s="1348">
        <f t="shared" si="171"/>
        <v>0</v>
      </c>
      <c r="K366" s="1347">
        <f t="shared" si="172"/>
        <v>0</v>
      </c>
      <c r="L366" s="1137"/>
      <c r="M366" s="1137"/>
      <c r="N366" s="1347"/>
      <c r="O366" s="1592">
        <f t="shared" si="164"/>
        <v>0</v>
      </c>
      <c r="P366" s="1252"/>
      <c r="Q366" s="1252"/>
      <c r="R366" s="1252"/>
      <c r="S366" s="1351">
        <f t="shared" si="168"/>
        <v>0</v>
      </c>
      <c r="T366" s="1351">
        <f t="shared" si="165"/>
        <v>0</v>
      </c>
      <c r="U366" s="660">
        <f t="shared" si="166"/>
        <v>0</v>
      </c>
      <c r="V366" s="451">
        <f t="shared" si="167"/>
        <v>0</v>
      </c>
      <c r="W366" s="451">
        <f t="shared" si="169"/>
        <v>0</v>
      </c>
      <c r="X366" s="660">
        <f t="shared" si="170"/>
        <v>0</v>
      </c>
      <c r="Y366" s="1348"/>
      <c r="Z366" s="1348"/>
      <c r="AA366" s="1347"/>
      <c r="AB366" s="1137"/>
      <c r="AC366" s="1137"/>
      <c r="AD366" s="1347"/>
    </row>
    <row r="367" spans="1:30" s="293" customFormat="1" ht="15" hidden="1" customHeight="1">
      <c r="A367" s="1479"/>
      <c r="B367" s="1343"/>
      <c r="C367" s="1348"/>
      <c r="D367" s="1348"/>
      <c r="E367" s="1347"/>
      <c r="F367" s="1539"/>
      <c r="G367" s="1539"/>
      <c r="H367" s="1539"/>
      <c r="I367" s="1348">
        <f t="shared" si="163"/>
        <v>0</v>
      </c>
      <c r="J367" s="1348">
        <f t="shared" si="171"/>
        <v>0</v>
      </c>
      <c r="K367" s="1347">
        <f t="shared" si="172"/>
        <v>0</v>
      </c>
      <c r="L367" s="1137"/>
      <c r="M367" s="1137"/>
      <c r="N367" s="1347"/>
      <c r="O367" s="1592">
        <f t="shared" si="164"/>
        <v>0</v>
      </c>
      <c r="P367" s="1252"/>
      <c r="Q367" s="1252"/>
      <c r="R367" s="1252"/>
      <c r="S367" s="1351">
        <f t="shared" si="168"/>
        <v>0</v>
      </c>
      <c r="T367" s="1351">
        <f t="shared" si="165"/>
        <v>0</v>
      </c>
      <c r="U367" s="660">
        <f t="shared" si="166"/>
        <v>0</v>
      </c>
      <c r="V367" s="451">
        <f t="shared" si="167"/>
        <v>0</v>
      </c>
      <c r="W367" s="451">
        <f t="shared" si="169"/>
        <v>0</v>
      </c>
      <c r="X367" s="660">
        <f t="shared" si="170"/>
        <v>0</v>
      </c>
      <c r="Y367" s="1348"/>
      <c r="Z367" s="1348"/>
      <c r="AA367" s="1347"/>
      <c r="AB367" s="1137"/>
      <c r="AC367" s="1137"/>
      <c r="AD367" s="1347"/>
    </row>
    <row r="368" spans="1:30" s="293" customFormat="1" ht="15" customHeight="1">
      <c r="A368" s="1479">
        <v>61047</v>
      </c>
      <c r="B368" s="1369" t="s">
        <v>1319</v>
      </c>
      <c r="C368" s="1348"/>
      <c r="D368" s="1348"/>
      <c r="E368" s="1347"/>
      <c r="F368" s="1539"/>
      <c r="G368" s="1539"/>
      <c r="H368" s="1539"/>
      <c r="I368" s="1348"/>
      <c r="J368" s="1348"/>
      <c r="K368" s="1347"/>
      <c r="L368" s="1137"/>
      <c r="M368" s="1137"/>
      <c r="N368" s="1347"/>
      <c r="O368" s="1592"/>
      <c r="P368" s="1252"/>
      <c r="Q368" s="1252"/>
      <c r="R368" s="1252"/>
      <c r="S368" s="1351">
        <f t="shared" si="168"/>
        <v>1229868</v>
      </c>
      <c r="T368" s="1351">
        <f t="shared" si="165"/>
        <v>968400</v>
      </c>
      <c r="U368" s="660">
        <f t="shared" si="166"/>
        <v>261468</v>
      </c>
      <c r="V368" s="451">
        <v>1229868</v>
      </c>
      <c r="W368" s="451"/>
      <c r="X368" s="660"/>
      <c r="Y368" s="1348">
        <f t="shared" ref="Y368:Y371" si="173">Z368+AA368</f>
        <v>1229868</v>
      </c>
      <c r="Z368" s="1348">
        <v>968400</v>
      </c>
      <c r="AA368" s="1347">
        <v>261468</v>
      </c>
      <c r="AB368" s="1137">
        <v>1229868</v>
      </c>
      <c r="AC368" s="1137"/>
      <c r="AD368" s="1347"/>
    </row>
    <row r="369" spans="1:50" s="293" customFormat="1" ht="16.5" customHeight="1">
      <c r="A369" s="1479">
        <v>61048</v>
      </c>
      <c r="B369" s="1369" t="s">
        <v>1320</v>
      </c>
      <c r="C369" s="1348"/>
      <c r="D369" s="1348"/>
      <c r="E369" s="1347"/>
      <c r="F369" s="1539"/>
      <c r="G369" s="1539"/>
      <c r="H369" s="1539"/>
      <c r="I369" s="1348"/>
      <c r="J369" s="1348"/>
      <c r="K369" s="1347"/>
      <c r="L369" s="1137"/>
      <c r="M369" s="1137"/>
      <c r="N369" s="1347"/>
      <c r="O369" s="1592"/>
      <c r="P369" s="1252"/>
      <c r="Q369" s="1252"/>
      <c r="R369" s="1252"/>
      <c r="S369" s="1351">
        <f t="shared" si="168"/>
        <v>635000</v>
      </c>
      <c r="T369" s="1351">
        <f t="shared" si="165"/>
        <v>500000</v>
      </c>
      <c r="U369" s="660">
        <f t="shared" si="166"/>
        <v>135000</v>
      </c>
      <c r="V369" s="451">
        <v>635000</v>
      </c>
      <c r="W369" s="451"/>
      <c r="X369" s="660"/>
      <c r="Y369" s="1348">
        <f t="shared" si="173"/>
        <v>381000</v>
      </c>
      <c r="Z369" s="1348">
        <v>300000</v>
      </c>
      <c r="AA369" s="1347">
        <v>81000</v>
      </c>
      <c r="AB369" s="1137">
        <v>381000</v>
      </c>
      <c r="AC369" s="1137"/>
      <c r="AD369" s="1347"/>
    </row>
    <row r="370" spans="1:50" s="293" customFormat="1" ht="30" customHeight="1">
      <c r="A370" s="1479">
        <v>61049</v>
      </c>
      <c r="B370" s="1369" t="s">
        <v>1321</v>
      </c>
      <c r="C370" s="1348"/>
      <c r="D370" s="1348"/>
      <c r="E370" s="1347"/>
      <c r="F370" s="1539"/>
      <c r="G370" s="1539"/>
      <c r="H370" s="1539"/>
      <c r="I370" s="1348"/>
      <c r="J370" s="1348"/>
      <c r="K370" s="1347"/>
      <c r="L370" s="1137"/>
      <c r="M370" s="1137"/>
      <c r="N370" s="1347"/>
      <c r="O370" s="1592"/>
      <c r="P370" s="1252"/>
      <c r="Q370" s="1252"/>
      <c r="R370" s="1252"/>
      <c r="S370" s="1351">
        <f t="shared" si="168"/>
        <v>2000000</v>
      </c>
      <c r="T370" s="1351">
        <f t="shared" si="165"/>
        <v>1574803</v>
      </c>
      <c r="U370" s="660">
        <f t="shared" si="166"/>
        <v>425197</v>
      </c>
      <c r="V370" s="451">
        <v>2000000</v>
      </c>
      <c r="W370" s="451"/>
      <c r="X370" s="660"/>
      <c r="Y370" s="1348">
        <f t="shared" si="173"/>
        <v>0</v>
      </c>
      <c r="Z370" s="1348"/>
      <c r="AA370" s="1347"/>
      <c r="AB370" s="1137"/>
      <c r="AC370" s="1137"/>
      <c r="AD370" s="1347"/>
    </row>
    <row r="371" spans="1:50" s="293" customFormat="1" ht="15" customHeight="1">
      <c r="A371" s="1479">
        <v>61050</v>
      </c>
      <c r="B371" s="1369" t="s">
        <v>1322</v>
      </c>
      <c r="C371" s="1348"/>
      <c r="D371" s="1348"/>
      <c r="E371" s="1347"/>
      <c r="F371" s="1539"/>
      <c r="G371" s="1539"/>
      <c r="H371" s="1539"/>
      <c r="I371" s="1348"/>
      <c r="J371" s="1348"/>
      <c r="K371" s="1347"/>
      <c r="L371" s="1137"/>
      <c r="M371" s="1137"/>
      <c r="N371" s="1347"/>
      <c r="O371" s="1592"/>
      <c r="P371" s="1252"/>
      <c r="Q371" s="1252"/>
      <c r="R371" s="1252"/>
      <c r="S371" s="1351">
        <f t="shared" si="168"/>
        <v>7239000</v>
      </c>
      <c r="T371" s="1351">
        <f t="shared" si="165"/>
        <v>5700000</v>
      </c>
      <c r="U371" s="660">
        <f t="shared" si="166"/>
        <v>1539000</v>
      </c>
      <c r="V371" s="451">
        <v>7239000</v>
      </c>
      <c r="W371" s="451"/>
      <c r="X371" s="660"/>
      <c r="Y371" s="1348">
        <f t="shared" si="173"/>
        <v>7235698</v>
      </c>
      <c r="Z371" s="1348">
        <v>5697400</v>
      </c>
      <c r="AA371" s="1347">
        <v>1538298</v>
      </c>
      <c r="AB371" s="1137">
        <v>7235698</v>
      </c>
      <c r="AC371" s="1137"/>
      <c r="AD371" s="1347"/>
    </row>
    <row r="372" spans="1:50" s="293" customFormat="1" ht="29.25" customHeight="1">
      <c r="A372" s="1479">
        <v>61051</v>
      </c>
      <c r="B372" s="1369" t="s">
        <v>1323</v>
      </c>
      <c r="C372" s="1348"/>
      <c r="D372" s="1348"/>
      <c r="E372" s="1347"/>
      <c r="F372" s="1539"/>
      <c r="G372" s="1539"/>
      <c r="H372" s="1539"/>
      <c r="I372" s="1348"/>
      <c r="J372" s="1348"/>
      <c r="K372" s="1347"/>
      <c r="L372" s="1137"/>
      <c r="M372" s="1137"/>
      <c r="N372" s="1347"/>
      <c r="O372" s="1592"/>
      <c r="P372" s="1252"/>
      <c r="Q372" s="1252"/>
      <c r="R372" s="1252"/>
      <c r="S372" s="1351">
        <f t="shared" si="168"/>
        <v>6086538</v>
      </c>
      <c r="T372" s="1351">
        <f t="shared" si="165"/>
        <v>4792550</v>
      </c>
      <c r="U372" s="660">
        <f>SUM(T372)*0.27-1</f>
        <v>1293988</v>
      </c>
      <c r="V372" s="451">
        <v>6086538</v>
      </c>
      <c r="W372" s="451"/>
      <c r="X372" s="660"/>
      <c r="Y372" s="1348">
        <f>Z372+AA372</f>
        <v>5911596</v>
      </c>
      <c r="Z372" s="1348">
        <v>4654800</v>
      </c>
      <c r="AA372" s="1347">
        <v>1256796</v>
      </c>
      <c r="AB372" s="1137">
        <v>5911596</v>
      </c>
      <c r="AC372" s="1137"/>
      <c r="AD372" s="1347"/>
    </row>
    <row r="373" spans="1:50" s="293" customFormat="1" ht="15" customHeight="1">
      <c r="A373" s="1479">
        <v>61052</v>
      </c>
      <c r="B373" s="1369" t="s">
        <v>1324</v>
      </c>
      <c r="C373" s="1348"/>
      <c r="D373" s="1348"/>
      <c r="E373" s="1347"/>
      <c r="F373" s="1539"/>
      <c r="G373" s="1539"/>
      <c r="H373" s="1539"/>
      <c r="I373" s="1348"/>
      <c r="J373" s="1348"/>
      <c r="K373" s="1347"/>
      <c r="L373" s="1137"/>
      <c r="M373" s="1137"/>
      <c r="N373" s="1347"/>
      <c r="O373" s="1592"/>
      <c r="P373" s="1252"/>
      <c r="Q373" s="1252"/>
      <c r="R373" s="1252"/>
      <c r="S373" s="1351">
        <f t="shared" si="168"/>
        <v>2006600</v>
      </c>
      <c r="T373" s="1351">
        <f t="shared" si="165"/>
        <v>1580000</v>
      </c>
      <c r="U373" s="660">
        <f>SUM(T373)*0.27</f>
        <v>426600</v>
      </c>
      <c r="V373" s="451">
        <v>2006600</v>
      </c>
      <c r="W373" s="451"/>
      <c r="X373" s="660"/>
      <c r="Y373" s="1348">
        <f>Z373+AA373</f>
        <v>2006600</v>
      </c>
      <c r="Z373" s="1348">
        <v>1580000</v>
      </c>
      <c r="AA373" s="1347">
        <v>426600</v>
      </c>
      <c r="AB373" s="1137">
        <v>2006600</v>
      </c>
      <c r="AC373" s="1137"/>
      <c r="AD373" s="1347"/>
    </row>
    <row r="374" spans="1:50" s="293" customFormat="1" ht="15" customHeight="1">
      <c r="A374" s="1479">
        <v>61053</v>
      </c>
      <c r="B374" s="1369" t="s">
        <v>1325</v>
      </c>
      <c r="C374" s="1348"/>
      <c r="D374" s="1348"/>
      <c r="E374" s="1347"/>
      <c r="F374" s="1539"/>
      <c r="G374" s="1539"/>
      <c r="H374" s="1539"/>
      <c r="I374" s="1348"/>
      <c r="J374" s="1348"/>
      <c r="K374" s="1347"/>
      <c r="L374" s="1137"/>
      <c r="M374" s="1137"/>
      <c r="N374" s="1347"/>
      <c r="O374" s="1592"/>
      <c r="P374" s="1252"/>
      <c r="Q374" s="1252"/>
      <c r="R374" s="1252"/>
      <c r="S374" s="1351">
        <f t="shared" si="168"/>
        <v>1173165</v>
      </c>
      <c r="T374" s="1351">
        <f t="shared" si="165"/>
        <v>923752</v>
      </c>
      <c r="U374" s="660">
        <f>SUM(T374)*0.27</f>
        <v>249413</v>
      </c>
      <c r="V374" s="451">
        <v>1173165</v>
      </c>
      <c r="W374" s="451"/>
      <c r="X374" s="660"/>
      <c r="Y374" s="1348">
        <f>Z374+AA374</f>
        <v>739775</v>
      </c>
      <c r="Z374" s="1348">
        <v>582500</v>
      </c>
      <c r="AA374" s="1347">
        <v>157275</v>
      </c>
      <c r="AB374" s="1137">
        <v>739775</v>
      </c>
      <c r="AC374" s="1137"/>
      <c r="AD374" s="1347"/>
    </row>
    <row r="375" spans="1:50" s="293" customFormat="1" ht="20.25" customHeight="1">
      <c r="A375" s="1479">
        <v>61055</v>
      </c>
      <c r="B375" s="1369" t="s">
        <v>252</v>
      </c>
      <c r="C375" s="1348"/>
      <c r="D375" s="1348"/>
      <c r="E375" s="1347"/>
      <c r="F375" s="1539"/>
      <c r="G375" s="1539"/>
      <c r="H375" s="1539"/>
      <c r="I375" s="1348"/>
      <c r="J375" s="1348"/>
      <c r="K375" s="1347"/>
      <c r="L375" s="1137"/>
      <c r="M375" s="1137"/>
      <c r="N375" s="1347"/>
      <c r="O375" s="1589"/>
      <c r="P375" s="451"/>
      <c r="Q375" s="451"/>
      <c r="R375" s="451"/>
      <c r="S375" s="1351">
        <f t="shared" si="168"/>
        <v>4000000</v>
      </c>
      <c r="T375" s="1351">
        <v>4000000</v>
      </c>
      <c r="U375" s="660">
        <v>0</v>
      </c>
      <c r="V375" s="451">
        <v>0</v>
      </c>
      <c r="W375" s="451">
        <v>4000000</v>
      </c>
      <c r="X375" s="660"/>
      <c r="Y375" s="1351"/>
      <c r="Z375" s="1351"/>
      <c r="AA375" s="660"/>
      <c r="AB375" s="451"/>
      <c r="AC375" s="451"/>
      <c r="AD375" s="660"/>
    </row>
    <row r="376" spans="1:50" s="293" customFormat="1" ht="15" customHeight="1">
      <c r="A376" s="1597" t="s">
        <v>1326</v>
      </c>
      <c r="B376" s="1598"/>
      <c r="C376" s="1351">
        <f t="shared" ref="C376:X376" si="174">SUM(C377:C378)</f>
        <v>786000</v>
      </c>
      <c r="D376" s="1351">
        <f t="shared" si="174"/>
        <v>619000</v>
      </c>
      <c r="E376" s="660">
        <f t="shared" si="174"/>
        <v>167000</v>
      </c>
      <c r="F376" s="1599">
        <f t="shared" si="174"/>
        <v>786000</v>
      </c>
      <c r="G376" s="1599">
        <f t="shared" si="174"/>
        <v>0</v>
      </c>
      <c r="H376" s="1599">
        <f t="shared" si="174"/>
        <v>0</v>
      </c>
      <c r="I376" s="1334">
        <f t="shared" si="174"/>
        <v>786000</v>
      </c>
      <c r="J376" s="1334">
        <f t="shared" si="174"/>
        <v>619000</v>
      </c>
      <c r="K376" s="1333">
        <f t="shared" si="174"/>
        <v>167000</v>
      </c>
      <c r="L376" s="1335">
        <f t="shared" si="174"/>
        <v>786000</v>
      </c>
      <c r="M376" s="1335">
        <f t="shared" si="174"/>
        <v>0</v>
      </c>
      <c r="N376" s="1333">
        <f t="shared" si="174"/>
        <v>0</v>
      </c>
      <c r="O376" s="1554">
        <f t="shared" si="174"/>
        <v>0</v>
      </c>
      <c r="P376" s="1337">
        <f t="shared" si="174"/>
        <v>0</v>
      </c>
      <c r="Q376" s="1337">
        <f t="shared" si="174"/>
        <v>0</v>
      </c>
      <c r="R376" s="1337">
        <f t="shared" si="174"/>
        <v>0</v>
      </c>
      <c r="S376" s="1339">
        <f t="shared" si="174"/>
        <v>2190558</v>
      </c>
      <c r="T376" s="1339">
        <f t="shared" si="174"/>
        <v>619000</v>
      </c>
      <c r="U376" s="1340">
        <f t="shared" si="174"/>
        <v>167000</v>
      </c>
      <c r="V376" s="1341">
        <f t="shared" si="174"/>
        <v>786000</v>
      </c>
      <c r="W376" s="1341">
        <f t="shared" si="174"/>
        <v>0</v>
      </c>
      <c r="X376" s="1340">
        <f t="shared" si="174"/>
        <v>0</v>
      </c>
      <c r="Y376" s="1334">
        <f>Z376+AA376</f>
        <v>785810</v>
      </c>
      <c r="Z376" s="1334">
        <f>Z377+Z378</f>
        <v>618748</v>
      </c>
      <c r="AA376" s="1333">
        <f>AA377+AA378</f>
        <v>167062</v>
      </c>
      <c r="AB376" s="1335">
        <f>AB377+AB378</f>
        <v>785810</v>
      </c>
      <c r="AC376" s="1335">
        <f>AC377+AC378</f>
        <v>0</v>
      </c>
      <c r="AD376" s="1333">
        <f>AD377+AD378</f>
        <v>0</v>
      </c>
    </row>
    <row r="377" spans="1:50" s="293" customFormat="1" ht="15" customHeight="1">
      <c r="A377" s="1600">
        <v>55002</v>
      </c>
      <c r="B377" s="1343" t="s">
        <v>1327</v>
      </c>
      <c r="C377" s="1334">
        <v>786000</v>
      </c>
      <c r="D377" s="1334">
        <v>619000</v>
      </c>
      <c r="E377" s="1333">
        <v>167000</v>
      </c>
      <c r="F377" s="1539">
        <v>786000</v>
      </c>
      <c r="G377" s="1539"/>
      <c r="H377" s="1539"/>
      <c r="I377" s="1348">
        <f t="shared" ref="I377:I378" si="175">SUM(L377:N377)</f>
        <v>786000</v>
      </c>
      <c r="J377" s="1351">
        <v>619000</v>
      </c>
      <c r="K377" s="660">
        <v>167000</v>
      </c>
      <c r="L377" s="1137">
        <v>786000</v>
      </c>
      <c r="M377" s="1137"/>
      <c r="N377" s="1347"/>
      <c r="O377" s="1592">
        <f t="shared" ref="O377:O378" si="176">SUM(P377:R377)</f>
        <v>0</v>
      </c>
      <c r="P377" s="1252"/>
      <c r="Q377" s="1252"/>
      <c r="R377" s="1252"/>
      <c r="S377" s="1351">
        <f>SUM(V377:Z377)</f>
        <v>2190558</v>
      </c>
      <c r="T377" s="1351">
        <v>619000</v>
      </c>
      <c r="U377" s="660">
        <v>167000</v>
      </c>
      <c r="V377" s="451">
        <f>SUM(L377+P377)</f>
        <v>786000</v>
      </c>
      <c r="W377" s="451">
        <f>SUM(M377+Q377)</f>
        <v>0</v>
      </c>
      <c r="X377" s="660">
        <f>SUM(N377+R377)</f>
        <v>0</v>
      </c>
      <c r="Y377" s="1348">
        <f>Z377+AA377</f>
        <v>785810</v>
      </c>
      <c r="Z377" s="1348">
        <v>618748</v>
      </c>
      <c r="AA377" s="1347">
        <v>167062</v>
      </c>
      <c r="AB377" s="1137">
        <v>785810</v>
      </c>
      <c r="AC377" s="1137"/>
      <c r="AD377" s="1347"/>
    </row>
    <row r="378" spans="1:50" s="293" customFormat="1" ht="14.25" customHeight="1">
      <c r="A378" s="1385"/>
      <c r="B378" s="1601"/>
      <c r="C378" s="1348"/>
      <c r="D378" s="1348"/>
      <c r="E378" s="1347"/>
      <c r="F378" s="1602"/>
      <c r="G378" s="1602"/>
      <c r="H378" s="1602"/>
      <c r="I378" s="1348">
        <f t="shared" si="175"/>
        <v>0</v>
      </c>
      <c r="J378" s="1348">
        <f>SUM(I378)/1.27</f>
        <v>0</v>
      </c>
      <c r="K378" s="1347">
        <f>SUM(J378)*0.27</f>
        <v>0</v>
      </c>
      <c r="L378" s="1137"/>
      <c r="M378" s="1137"/>
      <c r="N378" s="1347"/>
      <c r="O378" s="1592">
        <f t="shared" si="176"/>
        <v>0</v>
      </c>
      <c r="P378" s="1252"/>
      <c r="Q378" s="1252"/>
      <c r="R378" s="1252"/>
      <c r="S378" s="1351"/>
      <c r="T378" s="1351"/>
      <c r="U378" s="660"/>
      <c r="V378" s="451"/>
      <c r="W378" s="451"/>
      <c r="X378" s="660"/>
      <c r="Y378" s="1348"/>
      <c r="Z378" s="1348"/>
      <c r="AA378" s="1347"/>
      <c r="AB378" s="1137"/>
      <c r="AC378" s="1137"/>
      <c r="AD378" s="1347"/>
    </row>
    <row r="379" spans="1:50" s="293" customFormat="1" ht="14.25" customHeight="1" thickBot="1">
      <c r="A379" s="1385"/>
      <c r="B379" s="1603"/>
      <c r="C379" s="1348"/>
      <c r="D379" s="1348"/>
      <c r="E379" s="1347"/>
      <c r="F379" s="1513"/>
      <c r="G379" s="1513"/>
      <c r="H379" s="1513"/>
      <c r="I379" s="1348"/>
      <c r="J379" s="1423"/>
      <c r="K379" s="1422"/>
      <c r="L379" s="1424"/>
      <c r="M379" s="1424"/>
      <c r="N379" s="1422"/>
      <c r="O379" s="1589"/>
      <c r="P379" s="1137"/>
      <c r="Q379" s="1137"/>
      <c r="R379" s="1137"/>
      <c r="S379" s="1351"/>
      <c r="T379" s="1351"/>
      <c r="U379" s="660"/>
      <c r="V379" s="451"/>
      <c r="W379" s="451"/>
      <c r="X379" s="660"/>
      <c r="Y379" s="1348"/>
      <c r="Z379" s="1348"/>
      <c r="AA379" s="1347"/>
      <c r="AB379" s="1137"/>
      <c r="AC379" s="1137"/>
      <c r="AD379" s="1347"/>
    </row>
    <row r="380" spans="1:50" s="326" customFormat="1" ht="16.5" customHeight="1" thickBot="1">
      <c r="A380" s="1432" t="s">
        <v>1086</v>
      </c>
      <c r="B380" s="1575"/>
      <c r="C380" s="1348">
        <f t="shared" ref="C380:X380" si="177">SUM(C274:C379)/2</f>
        <v>1537525000</v>
      </c>
      <c r="D380" s="1348">
        <f t="shared" si="177"/>
        <v>1213838000</v>
      </c>
      <c r="E380" s="1347">
        <f t="shared" si="177"/>
        <v>323687000</v>
      </c>
      <c r="F380" s="1576">
        <f t="shared" si="177"/>
        <v>1537525000</v>
      </c>
      <c r="G380" s="1576">
        <f t="shared" si="177"/>
        <v>0</v>
      </c>
      <c r="H380" s="1576">
        <f t="shared" si="177"/>
        <v>0</v>
      </c>
      <c r="I380" s="1438">
        <f t="shared" si="177"/>
        <v>1678570330</v>
      </c>
      <c r="J380" s="1440">
        <f t="shared" si="177"/>
        <v>1329149260</v>
      </c>
      <c r="K380" s="1442">
        <f t="shared" si="177"/>
        <v>349421070</v>
      </c>
      <c r="L380" s="1436">
        <f t="shared" si="177"/>
        <v>1678570330</v>
      </c>
      <c r="M380" s="1437">
        <f t="shared" si="177"/>
        <v>0</v>
      </c>
      <c r="N380" s="1439">
        <f t="shared" si="177"/>
        <v>0</v>
      </c>
      <c r="O380" s="1436">
        <f t="shared" si="177"/>
        <v>50991069</v>
      </c>
      <c r="P380" s="1437">
        <f t="shared" si="177"/>
        <v>50991069</v>
      </c>
      <c r="Q380" s="1437">
        <f t="shared" si="177"/>
        <v>0</v>
      </c>
      <c r="R380" s="1437">
        <f t="shared" si="177"/>
        <v>0</v>
      </c>
      <c r="S380" s="1438">
        <f t="shared" si="177"/>
        <v>1496725775</v>
      </c>
      <c r="T380" s="1690">
        <f t="shared" si="177"/>
        <v>1399670695</v>
      </c>
      <c r="U380" s="1691">
        <f t="shared" si="177"/>
        <v>223546298</v>
      </c>
      <c r="V380" s="1690">
        <f t="shared" si="177"/>
        <v>1491321217</v>
      </c>
      <c r="W380" s="1692">
        <f t="shared" si="177"/>
        <v>2000000</v>
      </c>
      <c r="X380" s="1691">
        <f t="shared" si="177"/>
        <v>0</v>
      </c>
      <c r="Y380" s="1436">
        <f t="shared" ref="Y380:AD380" si="178">Y275+Y376</f>
        <v>649539596</v>
      </c>
      <c r="Z380" s="1440">
        <f t="shared" si="178"/>
        <v>560104636</v>
      </c>
      <c r="AA380" s="1442">
        <f t="shared" si="178"/>
        <v>89434960</v>
      </c>
      <c r="AB380" s="1436">
        <f t="shared" si="178"/>
        <v>649539596</v>
      </c>
      <c r="AC380" s="1437">
        <f t="shared" si="178"/>
        <v>0</v>
      </c>
      <c r="AD380" s="1439">
        <f t="shared" si="178"/>
        <v>0</v>
      </c>
    </row>
    <row r="381" spans="1:50" s="381" customFormat="1" ht="9.75" customHeight="1" thickBot="1">
      <c r="A381" s="1604"/>
      <c r="B381" s="1605"/>
      <c r="C381" s="1436"/>
      <c r="D381" s="1440"/>
      <c r="E381" s="1442"/>
      <c r="F381" s="1606"/>
      <c r="G381" s="1606"/>
      <c r="H381" s="1606"/>
      <c r="I381" s="1607"/>
      <c r="J381" s="1607"/>
      <c r="K381" s="1607"/>
      <c r="L381" s="1608"/>
      <c r="M381" s="1607"/>
      <c r="N381" s="1609"/>
      <c r="O381" s="1610"/>
      <c r="P381" s="1611"/>
      <c r="Q381" s="1611"/>
      <c r="R381" s="1611"/>
      <c r="S381" s="1612"/>
      <c r="T381" s="383"/>
      <c r="U381" s="1689"/>
      <c r="V381" s="383"/>
      <c r="W381" s="383"/>
      <c r="X381" s="1689"/>
      <c r="Y381" s="1612"/>
      <c r="Z381" s="1607"/>
      <c r="AA381" s="1609"/>
      <c r="AB381" s="1607"/>
      <c r="AC381" s="1607"/>
      <c r="AD381" s="1609"/>
    </row>
    <row r="382" spans="1:50" s="97" customFormat="1" ht="16.5" customHeight="1" thickBot="1">
      <c r="A382" s="1613" t="s">
        <v>1328</v>
      </c>
      <c r="B382" s="1614"/>
      <c r="C382" s="1612">
        <f t="shared" ref="C382:X382" si="179">C250+C273+C380</f>
        <v>1767234000</v>
      </c>
      <c r="D382" s="1607">
        <f t="shared" si="179"/>
        <v>1395347000</v>
      </c>
      <c r="E382" s="1609">
        <f t="shared" si="179"/>
        <v>371887000</v>
      </c>
      <c r="F382" s="1615">
        <f t="shared" si="179"/>
        <v>1767234000</v>
      </c>
      <c r="G382" s="1615">
        <f t="shared" si="179"/>
        <v>0</v>
      </c>
      <c r="H382" s="1615">
        <f t="shared" si="179"/>
        <v>0</v>
      </c>
      <c r="I382" s="1611">
        <f t="shared" si="179"/>
        <v>2064715824</v>
      </c>
      <c r="J382" s="1610">
        <f t="shared" si="179"/>
        <v>1634165821</v>
      </c>
      <c r="K382" s="1610">
        <f t="shared" si="179"/>
        <v>430550003</v>
      </c>
      <c r="L382" s="1610">
        <f t="shared" si="179"/>
        <v>2057619894</v>
      </c>
      <c r="M382" s="1610">
        <f t="shared" si="179"/>
        <v>7095930</v>
      </c>
      <c r="N382" s="395">
        <f t="shared" si="179"/>
        <v>0</v>
      </c>
      <c r="O382" s="1611">
        <f t="shared" si="179"/>
        <v>41253661</v>
      </c>
      <c r="P382" s="1610">
        <f t="shared" si="179"/>
        <v>41253661</v>
      </c>
      <c r="Q382" s="1610">
        <f t="shared" si="179"/>
        <v>0</v>
      </c>
      <c r="R382" s="1610">
        <f t="shared" si="179"/>
        <v>0</v>
      </c>
      <c r="S382" s="395">
        <f t="shared" si="179"/>
        <v>2021429710</v>
      </c>
      <c r="T382" s="1611">
        <f t="shared" si="179"/>
        <v>1792453353</v>
      </c>
      <c r="U382" s="395">
        <f t="shared" si="179"/>
        <v>329061576</v>
      </c>
      <c r="V382" s="1611">
        <f t="shared" si="179"/>
        <v>1882678174</v>
      </c>
      <c r="W382" s="1610">
        <f t="shared" si="179"/>
        <v>9168594</v>
      </c>
      <c r="X382" s="395">
        <f t="shared" si="179"/>
        <v>3517000</v>
      </c>
      <c r="Y382" s="395">
        <f t="shared" ref="Y382:AD382" si="180">Y380+Y273+Y250</f>
        <v>989396462</v>
      </c>
      <c r="Z382" s="1611">
        <f t="shared" si="180"/>
        <v>828790291</v>
      </c>
      <c r="AA382" s="395">
        <f t="shared" si="180"/>
        <v>160606171</v>
      </c>
      <c r="AB382" s="1611">
        <f t="shared" si="180"/>
        <v>983427868</v>
      </c>
      <c r="AC382" s="1610">
        <f t="shared" si="180"/>
        <v>5968594</v>
      </c>
      <c r="AD382" s="395">
        <f t="shared" si="180"/>
        <v>0</v>
      </c>
      <c r="AE382" s="1503"/>
      <c r="AF382" s="1503"/>
      <c r="AG382" s="1503"/>
      <c r="AH382" s="1503"/>
      <c r="AI382" s="1503"/>
      <c r="AJ382" s="1503"/>
      <c r="AK382" s="1503"/>
      <c r="AL382" s="1503"/>
      <c r="AM382" s="1503"/>
      <c r="AN382" s="1503"/>
      <c r="AO382" s="1503"/>
      <c r="AP382" s="1503"/>
      <c r="AQ382" s="1503"/>
      <c r="AR382" s="1503"/>
      <c r="AS382" s="1503"/>
      <c r="AT382" s="1503"/>
      <c r="AU382" s="1503"/>
      <c r="AV382" s="1503"/>
      <c r="AW382" s="1503"/>
      <c r="AX382" s="1503"/>
    </row>
    <row r="383" spans="1:50" s="293" customFormat="1" ht="11.25" customHeight="1" thickBot="1">
      <c r="A383" s="1385"/>
      <c r="B383" s="303"/>
      <c r="C383" s="1513"/>
      <c r="D383" s="1513"/>
      <c r="E383" s="1513"/>
      <c r="F383" s="1513"/>
      <c r="G383" s="1513"/>
      <c r="H383" s="1513"/>
      <c r="I383" s="1137"/>
      <c r="J383" s="1137"/>
      <c r="K383" s="1137"/>
      <c r="L383" s="1348"/>
      <c r="M383" s="1137"/>
      <c r="N383" s="1347"/>
      <c r="O383" s="1616"/>
      <c r="P383" s="1617"/>
      <c r="Q383" s="1617"/>
      <c r="R383" s="1617"/>
      <c r="S383" s="1350"/>
      <c r="T383" s="451"/>
      <c r="U383" s="660"/>
      <c r="V383" s="451"/>
      <c r="W383" s="451"/>
      <c r="X383" s="660"/>
      <c r="Y383" s="1352"/>
      <c r="Z383" s="1137"/>
      <c r="AA383" s="1347"/>
      <c r="AB383" s="1137"/>
      <c r="AC383" s="1137"/>
      <c r="AD383" s="1347"/>
    </row>
    <row r="384" spans="1:50" s="832" customFormat="1" ht="15.75">
      <c r="A384" s="1618" t="s">
        <v>1329</v>
      </c>
      <c r="B384" s="1619"/>
      <c r="C384" s="1620">
        <f t="shared" ref="C384:R384" si="181">SUM(C385:C412)</f>
        <v>36000000</v>
      </c>
      <c r="D384" s="1621">
        <f t="shared" si="181"/>
        <v>36000000</v>
      </c>
      <c r="E384" s="1621">
        <f t="shared" si="181"/>
        <v>0</v>
      </c>
      <c r="F384" s="1621">
        <f t="shared" si="181"/>
        <v>36000000</v>
      </c>
      <c r="G384" s="1621">
        <f t="shared" si="181"/>
        <v>0</v>
      </c>
      <c r="H384" s="1621">
        <f t="shared" si="181"/>
        <v>0</v>
      </c>
      <c r="I384" s="1622">
        <f t="shared" si="181"/>
        <v>36000000</v>
      </c>
      <c r="J384" s="1623">
        <f t="shared" si="181"/>
        <v>36000000</v>
      </c>
      <c r="K384" s="1623">
        <f t="shared" si="181"/>
        <v>0</v>
      </c>
      <c r="L384" s="1624">
        <f t="shared" si="181"/>
        <v>36000000</v>
      </c>
      <c r="M384" s="1623">
        <f t="shared" si="181"/>
        <v>0</v>
      </c>
      <c r="N384" s="1625">
        <f t="shared" si="181"/>
        <v>0</v>
      </c>
      <c r="O384" s="1626">
        <f t="shared" si="181"/>
        <v>0</v>
      </c>
      <c r="P384" s="1470">
        <f t="shared" si="181"/>
        <v>0</v>
      </c>
      <c r="Q384" s="1470">
        <f t="shared" si="181"/>
        <v>0</v>
      </c>
      <c r="R384" s="1470">
        <f t="shared" si="181"/>
        <v>0</v>
      </c>
      <c r="S384" s="1627">
        <f>SUM(S387:S412)</f>
        <v>1000000</v>
      </c>
      <c r="T384" s="1628">
        <f>SUM(T387:T412)</f>
        <v>1000000</v>
      </c>
      <c r="U384" s="1628">
        <f>SUM(U387:U412)</f>
        <v>0</v>
      </c>
      <c r="V384" s="1628">
        <f>SUM(V385:V412)</f>
        <v>1000000</v>
      </c>
      <c r="W384" s="1628">
        <f>SUM(W385:W412)</f>
        <v>0</v>
      </c>
      <c r="X384" s="1629">
        <f>SUM(X385:X412)</f>
        <v>0</v>
      </c>
      <c r="Y384" s="1622"/>
      <c r="Z384" s="1623"/>
      <c r="AA384" s="1625"/>
      <c r="AB384" s="1623"/>
      <c r="AC384" s="1623"/>
      <c r="AD384" s="1625"/>
    </row>
    <row r="385" spans="1:30" s="832" customFormat="1" ht="15" hidden="1" customHeight="1">
      <c r="A385" s="1630"/>
      <c r="B385" s="1343" t="s">
        <v>1330</v>
      </c>
      <c r="C385" s="1540"/>
      <c r="D385" s="1540"/>
      <c r="E385" s="1540"/>
      <c r="F385" s="1540"/>
      <c r="G385" s="1540"/>
      <c r="H385" s="1540"/>
      <c r="I385" s="1352">
        <f t="shared" ref="I385:I410" si="182">SUM(L385:N385)</f>
        <v>0</v>
      </c>
      <c r="J385" s="1137">
        <f>SUM(I385)/1</f>
        <v>0</v>
      </c>
      <c r="K385" s="1137"/>
      <c r="L385" s="1348">
        <v>0</v>
      </c>
      <c r="M385" s="1137"/>
      <c r="N385" s="1347"/>
      <c r="O385" s="1592">
        <f t="shared" ref="O385:O411" si="183">SUM(P385:R385)</f>
        <v>0</v>
      </c>
      <c r="P385" s="1252"/>
      <c r="Q385" s="1252"/>
      <c r="R385" s="1252"/>
      <c r="S385" s="1350"/>
      <c r="T385" s="451"/>
      <c r="U385" s="660"/>
      <c r="V385" s="451"/>
      <c r="W385" s="451"/>
      <c r="X385" s="660"/>
      <c r="Y385" s="1352"/>
      <c r="Z385" s="1137"/>
      <c r="AA385" s="1347"/>
      <c r="AB385" s="1137"/>
      <c r="AC385" s="1137"/>
      <c r="AD385" s="1347"/>
    </row>
    <row r="386" spans="1:30" s="832" customFormat="1" ht="15" customHeight="1">
      <c r="A386" s="1630"/>
      <c r="B386" s="1343" t="s">
        <v>952</v>
      </c>
      <c r="C386" s="1540">
        <v>35000000</v>
      </c>
      <c r="D386" s="1540">
        <v>35000000</v>
      </c>
      <c r="E386" s="1540"/>
      <c r="F386" s="1540">
        <v>35000000</v>
      </c>
      <c r="G386" s="1540"/>
      <c r="H386" s="1540"/>
      <c r="I386" s="1352">
        <f t="shared" si="182"/>
        <v>35000000</v>
      </c>
      <c r="J386" s="1137">
        <f>SUM(I386)/1</f>
        <v>35000000</v>
      </c>
      <c r="K386" s="1137"/>
      <c r="L386" s="1348">
        <v>35000000</v>
      </c>
      <c r="M386" s="1137"/>
      <c r="N386" s="1347"/>
      <c r="O386" s="1592">
        <f t="shared" si="183"/>
        <v>0</v>
      </c>
      <c r="P386" s="1252"/>
      <c r="Q386" s="1252"/>
      <c r="R386" s="1252"/>
      <c r="S386" s="1350">
        <v>0</v>
      </c>
      <c r="T386" s="451">
        <f>SUM(S386)/1</f>
        <v>0</v>
      </c>
      <c r="U386" s="660"/>
      <c r="V386" s="451">
        <v>0</v>
      </c>
      <c r="W386" s="451">
        <f t="shared" ref="W386:W410" si="184">SUM(M386+Q386)</f>
        <v>0</v>
      </c>
      <c r="X386" s="660">
        <f t="shared" ref="X386:X410" si="185">SUM(N386+R386)</f>
        <v>0</v>
      </c>
      <c r="Y386" s="1352"/>
      <c r="Z386" s="1137"/>
      <c r="AA386" s="1347"/>
      <c r="AB386" s="1137"/>
      <c r="AC386" s="1137"/>
      <c r="AD386" s="1347"/>
    </row>
    <row r="387" spans="1:30" s="832" customFormat="1" ht="14.25" customHeight="1">
      <c r="A387" s="1630"/>
      <c r="B387" s="1343" t="s">
        <v>953</v>
      </c>
      <c r="C387" s="1540">
        <v>1000000</v>
      </c>
      <c r="D387" s="1540">
        <v>1000000</v>
      </c>
      <c r="E387" s="1540"/>
      <c r="F387" s="1540">
        <v>1000000</v>
      </c>
      <c r="G387" s="1540"/>
      <c r="H387" s="1540"/>
      <c r="I387" s="1352">
        <f t="shared" si="182"/>
        <v>1000000</v>
      </c>
      <c r="J387" s="1137">
        <f>SUM(I387)/1</f>
        <v>1000000</v>
      </c>
      <c r="K387" s="1137"/>
      <c r="L387" s="1348">
        <v>1000000</v>
      </c>
      <c r="M387" s="1137"/>
      <c r="N387" s="1347"/>
      <c r="O387" s="1592">
        <f t="shared" si="183"/>
        <v>0</v>
      </c>
      <c r="P387" s="1252"/>
      <c r="Q387" s="1252"/>
      <c r="R387" s="1252"/>
      <c r="S387" s="1350">
        <f t="shared" ref="S387:S405" si="186">SUM(V387:Z387)</f>
        <v>1000000</v>
      </c>
      <c r="T387" s="451">
        <f>SUM(S387)/1</f>
        <v>1000000</v>
      </c>
      <c r="U387" s="660"/>
      <c r="V387" s="451">
        <f t="shared" ref="V387:V410" si="187">SUM(L387+P387)</f>
        <v>1000000</v>
      </c>
      <c r="W387" s="451">
        <f t="shared" si="184"/>
        <v>0</v>
      </c>
      <c r="X387" s="660">
        <f t="shared" si="185"/>
        <v>0</v>
      </c>
      <c r="Y387" s="1352"/>
      <c r="Z387" s="1137"/>
      <c r="AA387" s="1347"/>
      <c r="AB387" s="1137"/>
      <c r="AC387" s="1137"/>
      <c r="AD387" s="1347"/>
    </row>
    <row r="388" spans="1:30" s="832" customFormat="1" ht="15.75" hidden="1" customHeight="1">
      <c r="A388" s="1630"/>
      <c r="B388" s="1343"/>
      <c r="C388" s="1540"/>
      <c r="D388" s="1540"/>
      <c r="E388" s="1540"/>
      <c r="F388" s="1540"/>
      <c r="G388" s="1540"/>
      <c r="H388" s="1540"/>
      <c r="I388" s="1352">
        <f t="shared" si="182"/>
        <v>0</v>
      </c>
      <c r="J388" s="1137">
        <f>SUM(I388)/1</f>
        <v>0</v>
      </c>
      <c r="K388" s="1137"/>
      <c r="L388" s="1348"/>
      <c r="M388" s="1137"/>
      <c r="N388" s="1347"/>
      <c r="O388" s="1592">
        <f t="shared" si="183"/>
        <v>0</v>
      </c>
      <c r="P388" s="1252"/>
      <c r="Q388" s="1252"/>
      <c r="R388" s="1252"/>
      <c r="S388" s="1350">
        <f t="shared" si="186"/>
        <v>0</v>
      </c>
      <c r="T388" s="451">
        <f>SUM(S388)/1</f>
        <v>0</v>
      </c>
      <c r="U388" s="660"/>
      <c r="V388" s="451">
        <f t="shared" si="187"/>
        <v>0</v>
      </c>
      <c r="W388" s="451">
        <f t="shared" si="184"/>
        <v>0</v>
      </c>
      <c r="X388" s="660">
        <f t="shared" si="185"/>
        <v>0</v>
      </c>
      <c r="Y388" s="1352"/>
      <c r="Z388" s="1137"/>
      <c r="AA388" s="1347"/>
      <c r="AB388" s="1137"/>
      <c r="AC388" s="1137"/>
      <c r="AD388" s="1347"/>
    </row>
    <row r="389" spans="1:30" s="832" customFormat="1" ht="15.75" hidden="1">
      <c r="A389" s="1630"/>
      <c r="B389" s="1343" t="s">
        <v>1331</v>
      </c>
      <c r="C389" s="1540"/>
      <c r="D389" s="1540"/>
      <c r="E389" s="1540"/>
      <c r="F389" s="1540"/>
      <c r="G389" s="1540"/>
      <c r="H389" s="1540"/>
      <c r="I389" s="1352">
        <f t="shared" si="182"/>
        <v>0</v>
      </c>
      <c r="J389" s="1137">
        <f>SUM(I389)/1</f>
        <v>0</v>
      </c>
      <c r="K389" s="1137"/>
      <c r="L389" s="1348">
        <v>0</v>
      </c>
      <c r="M389" s="1137"/>
      <c r="N389" s="1347"/>
      <c r="O389" s="1592">
        <f t="shared" si="183"/>
        <v>0</v>
      </c>
      <c r="P389" s="1252"/>
      <c r="Q389" s="1252"/>
      <c r="R389" s="1252"/>
      <c r="S389" s="1350">
        <f t="shared" si="186"/>
        <v>0</v>
      </c>
      <c r="T389" s="451">
        <f>SUM(S389)/1</f>
        <v>0</v>
      </c>
      <c r="U389" s="660"/>
      <c r="V389" s="451">
        <f t="shared" si="187"/>
        <v>0</v>
      </c>
      <c r="W389" s="451">
        <f t="shared" si="184"/>
        <v>0</v>
      </c>
      <c r="X389" s="660">
        <f t="shared" si="185"/>
        <v>0</v>
      </c>
      <c r="Y389" s="1352"/>
      <c r="Z389" s="1137"/>
      <c r="AA389" s="1347"/>
      <c r="AB389" s="1137"/>
      <c r="AC389" s="1137"/>
      <c r="AD389" s="1347"/>
    </row>
    <row r="390" spans="1:30" s="832" customFormat="1" ht="15.75" hidden="1">
      <c r="A390" s="1630"/>
      <c r="B390" s="1343"/>
      <c r="C390" s="1540"/>
      <c r="D390" s="1540"/>
      <c r="E390" s="1540"/>
      <c r="F390" s="1540"/>
      <c r="G390" s="1540"/>
      <c r="H390" s="1540"/>
      <c r="I390" s="1352">
        <f t="shared" si="182"/>
        <v>0</v>
      </c>
      <c r="J390" s="1137"/>
      <c r="K390" s="1137"/>
      <c r="L390" s="1348"/>
      <c r="M390" s="1137"/>
      <c r="N390" s="1347"/>
      <c r="O390" s="1592">
        <f t="shared" si="183"/>
        <v>0</v>
      </c>
      <c r="P390" s="1252"/>
      <c r="Q390" s="1252"/>
      <c r="R390" s="1252"/>
      <c r="S390" s="1350">
        <f t="shared" si="186"/>
        <v>0</v>
      </c>
      <c r="T390" s="451"/>
      <c r="U390" s="660"/>
      <c r="V390" s="451">
        <f t="shared" si="187"/>
        <v>0</v>
      </c>
      <c r="W390" s="451">
        <f t="shared" si="184"/>
        <v>0</v>
      </c>
      <c r="X390" s="660">
        <f t="shared" si="185"/>
        <v>0</v>
      </c>
      <c r="Y390" s="1352"/>
      <c r="Z390" s="1137"/>
      <c r="AA390" s="1347"/>
      <c r="AB390" s="1137"/>
      <c r="AC390" s="1137"/>
      <c r="AD390" s="1347"/>
    </row>
    <row r="391" spans="1:30" s="832" customFormat="1" ht="15.75" hidden="1">
      <c r="A391" s="1630"/>
      <c r="B391" s="1343"/>
      <c r="C391" s="1540"/>
      <c r="D391" s="1540"/>
      <c r="E391" s="1540"/>
      <c r="F391" s="1540"/>
      <c r="G391" s="1540"/>
      <c r="H391" s="1540"/>
      <c r="I391" s="1352">
        <f t="shared" si="182"/>
        <v>0</v>
      </c>
      <c r="J391" s="1137"/>
      <c r="K391" s="1137"/>
      <c r="L391" s="1348"/>
      <c r="M391" s="1137"/>
      <c r="N391" s="1347"/>
      <c r="O391" s="1592">
        <f t="shared" si="183"/>
        <v>0</v>
      </c>
      <c r="P391" s="1252"/>
      <c r="Q391" s="1252"/>
      <c r="R391" s="1252"/>
      <c r="S391" s="1350">
        <f t="shared" si="186"/>
        <v>0</v>
      </c>
      <c r="T391" s="451"/>
      <c r="U391" s="660"/>
      <c r="V391" s="451">
        <f t="shared" si="187"/>
        <v>0</v>
      </c>
      <c r="W391" s="451">
        <f t="shared" si="184"/>
        <v>0</v>
      </c>
      <c r="X391" s="660">
        <f t="shared" si="185"/>
        <v>0</v>
      </c>
      <c r="Y391" s="1352"/>
      <c r="Z391" s="1137"/>
      <c r="AA391" s="1347"/>
      <c r="AB391" s="1137"/>
      <c r="AC391" s="1137"/>
      <c r="AD391" s="1347"/>
    </row>
    <row r="392" spans="1:30" s="832" customFormat="1" ht="15.75" hidden="1">
      <c r="A392" s="1630"/>
      <c r="B392" s="1343"/>
      <c r="C392" s="1540"/>
      <c r="D392" s="1540"/>
      <c r="E392" s="1540"/>
      <c r="F392" s="1540"/>
      <c r="G392" s="1540"/>
      <c r="H392" s="1540"/>
      <c r="I392" s="1352">
        <f t="shared" si="182"/>
        <v>0</v>
      </c>
      <c r="J392" s="1137"/>
      <c r="K392" s="1137"/>
      <c r="L392" s="1348"/>
      <c r="M392" s="1137"/>
      <c r="N392" s="1347"/>
      <c r="O392" s="1592">
        <f t="shared" si="183"/>
        <v>0</v>
      </c>
      <c r="P392" s="1252"/>
      <c r="Q392" s="1252"/>
      <c r="R392" s="1252"/>
      <c r="S392" s="1350">
        <f t="shared" si="186"/>
        <v>0</v>
      </c>
      <c r="T392" s="451"/>
      <c r="U392" s="660"/>
      <c r="V392" s="451">
        <f t="shared" si="187"/>
        <v>0</v>
      </c>
      <c r="W392" s="451">
        <f t="shared" si="184"/>
        <v>0</v>
      </c>
      <c r="X392" s="660">
        <f t="shared" si="185"/>
        <v>0</v>
      </c>
      <c r="Y392" s="1352"/>
      <c r="Z392" s="1137"/>
      <c r="AA392" s="1347"/>
      <c r="AB392" s="1137"/>
      <c r="AC392" s="1137"/>
      <c r="AD392" s="1347"/>
    </row>
    <row r="393" spans="1:30" s="832" customFormat="1" ht="15.75" hidden="1">
      <c r="A393" s="1630"/>
      <c r="B393" s="1343"/>
      <c r="C393" s="1540"/>
      <c r="D393" s="1540"/>
      <c r="E393" s="1540"/>
      <c r="F393" s="1540"/>
      <c r="G393" s="1540"/>
      <c r="H393" s="1540"/>
      <c r="I393" s="1352">
        <f t="shared" si="182"/>
        <v>0</v>
      </c>
      <c r="J393" s="1137"/>
      <c r="K393" s="1137"/>
      <c r="L393" s="1348"/>
      <c r="M393" s="1137"/>
      <c r="N393" s="1347"/>
      <c r="O393" s="1592">
        <f t="shared" si="183"/>
        <v>0</v>
      </c>
      <c r="P393" s="1252"/>
      <c r="Q393" s="1252"/>
      <c r="R393" s="1252"/>
      <c r="S393" s="1350">
        <f t="shared" si="186"/>
        <v>0</v>
      </c>
      <c r="T393" s="451"/>
      <c r="U393" s="660"/>
      <c r="V393" s="451">
        <f t="shared" si="187"/>
        <v>0</v>
      </c>
      <c r="W393" s="451">
        <f t="shared" si="184"/>
        <v>0</v>
      </c>
      <c r="X393" s="660">
        <f t="shared" si="185"/>
        <v>0</v>
      </c>
      <c r="Y393" s="1352"/>
      <c r="Z393" s="1137"/>
      <c r="AA393" s="1347"/>
      <c r="AB393" s="1137"/>
      <c r="AC393" s="1137"/>
      <c r="AD393" s="1347"/>
    </row>
    <row r="394" spans="1:30" s="832" customFormat="1" ht="17.25" hidden="1" customHeight="1">
      <c r="A394" s="1630"/>
      <c r="B394" s="1343"/>
      <c r="C394" s="1540"/>
      <c r="D394" s="1540"/>
      <c r="E394" s="1540"/>
      <c r="F394" s="1540"/>
      <c r="G394" s="1540"/>
      <c r="H394" s="1540"/>
      <c r="I394" s="1352">
        <f t="shared" si="182"/>
        <v>0</v>
      </c>
      <c r="J394" s="1137"/>
      <c r="K394" s="1137"/>
      <c r="L394" s="1348"/>
      <c r="M394" s="1137"/>
      <c r="N394" s="1347"/>
      <c r="O394" s="1592">
        <f t="shared" si="183"/>
        <v>0</v>
      </c>
      <c r="P394" s="1252"/>
      <c r="Q394" s="1252"/>
      <c r="R394" s="1252"/>
      <c r="S394" s="1350">
        <f t="shared" si="186"/>
        <v>0</v>
      </c>
      <c r="T394" s="451"/>
      <c r="U394" s="660"/>
      <c r="V394" s="451">
        <f t="shared" si="187"/>
        <v>0</v>
      </c>
      <c r="W394" s="451">
        <f t="shared" si="184"/>
        <v>0</v>
      </c>
      <c r="X394" s="660">
        <f t="shared" si="185"/>
        <v>0</v>
      </c>
      <c r="Y394" s="1352"/>
      <c r="Z394" s="1137"/>
      <c r="AA394" s="1347"/>
      <c r="AB394" s="1137"/>
      <c r="AC394" s="1137"/>
      <c r="AD394" s="1347"/>
    </row>
    <row r="395" spans="1:30" s="832" customFormat="1" ht="15.75" hidden="1">
      <c r="A395" s="1630"/>
      <c r="B395" s="1343"/>
      <c r="C395" s="1540"/>
      <c r="D395" s="1540"/>
      <c r="E395" s="1540"/>
      <c r="F395" s="1540"/>
      <c r="G395" s="1540"/>
      <c r="H395" s="1540"/>
      <c r="I395" s="1352">
        <f t="shared" si="182"/>
        <v>0</v>
      </c>
      <c r="J395" s="1137"/>
      <c r="K395" s="1137"/>
      <c r="L395" s="1348"/>
      <c r="M395" s="1137"/>
      <c r="N395" s="1347"/>
      <c r="O395" s="1592">
        <f t="shared" si="183"/>
        <v>0</v>
      </c>
      <c r="P395" s="1252"/>
      <c r="Q395" s="1252"/>
      <c r="R395" s="1252"/>
      <c r="S395" s="1350">
        <f t="shared" si="186"/>
        <v>0</v>
      </c>
      <c r="T395" s="451"/>
      <c r="U395" s="660"/>
      <c r="V395" s="451">
        <f t="shared" si="187"/>
        <v>0</v>
      </c>
      <c r="W395" s="451">
        <f t="shared" si="184"/>
        <v>0</v>
      </c>
      <c r="X395" s="660">
        <f t="shared" si="185"/>
        <v>0</v>
      </c>
      <c r="Y395" s="1352"/>
      <c r="Z395" s="1137"/>
      <c r="AA395" s="1347"/>
      <c r="AB395" s="1137"/>
      <c r="AC395" s="1137"/>
      <c r="AD395" s="1347"/>
    </row>
    <row r="396" spans="1:30" s="832" customFormat="1" ht="15.75" hidden="1">
      <c r="A396" s="1630"/>
      <c r="B396" s="1343"/>
      <c r="C396" s="1540"/>
      <c r="D396" s="1540"/>
      <c r="E396" s="1540"/>
      <c r="F396" s="1540"/>
      <c r="G396" s="1540"/>
      <c r="H396" s="1540"/>
      <c r="I396" s="1352">
        <f t="shared" si="182"/>
        <v>0</v>
      </c>
      <c r="J396" s="1137"/>
      <c r="K396" s="1137"/>
      <c r="L396" s="1348"/>
      <c r="M396" s="1137"/>
      <c r="N396" s="1347"/>
      <c r="O396" s="1592">
        <f t="shared" si="183"/>
        <v>0</v>
      </c>
      <c r="P396" s="1252"/>
      <c r="Q396" s="1252"/>
      <c r="R396" s="1252"/>
      <c r="S396" s="1350">
        <f t="shared" si="186"/>
        <v>0</v>
      </c>
      <c r="T396" s="451"/>
      <c r="U396" s="660"/>
      <c r="V396" s="451">
        <f t="shared" si="187"/>
        <v>0</v>
      </c>
      <c r="W396" s="451">
        <f t="shared" si="184"/>
        <v>0</v>
      </c>
      <c r="X396" s="660">
        <f t="shared" si="185"/>
        <v>0</v>
      </c>
      <c r="Y396" s="1352"/>
      <c r="Z396" s="1137"/>
      <c r="AA396" s="1347"/>
      <c r="AB396" s="1137"/>
      <c r="AC396" s="1137"/>
      <c r="AD396" s="1347"/>
    </row>
    <row r="397" spans="1:30" s="832" customFormat="1" ht="15.75" hidden="1">
      <c r="A397" s="1630"/>
      <c r="B397" s="1343"/>
      <c r="C397" s="1540"/>
      <c r="D397" s="1540"/>
      <c r="E397" s="1540"/>
      <c r="F397" s="1540"/>
      <c r="G397" s="1540"/>
      <c r="H397" s="1540"/>
      <c r="I397" s="1352">
        <f t="shared" si="182"/>
        <v>0</v>
      </c>
      <c r="J397" s="1137"/>
      <c r="K397" s="1137"/>
      <c r="L397" s="1348"/>
      <c r="M397" s="1137"/>
      <c r="N397" s="1347"/>
      <c r="O397" s="1592">
        <f t="shared" si="183"/>
        <v>0</v>
      </c>
      <c r="P397" s="1252"/>
      <c r="Q397" s="1252"/>
      <c r="R397" s="1252"/>
      <c r="S397" s="1350">
        <f t="shared" si="186"/>
        <v>0</v>
      </c>
      <c r="T397" s="451"/>
      <c r="U397" s="660"/>
      <c r="V397" s="451">
        <f t="shared" si="187"/>
        <v>0</v>
      </c>
      <c r="W397" s="451">
        <f t="shared" si="184"/>
        <v>0</v>
      </c>
      <c r="X397" s="660">
        <f t="shared" si="185"/>
        <v>0</v>
      </c>
      <c r="Y397" s="1352"/>
      <c r="Z397" s="1137"/>
      <c r="AA397" s="1347"/>
      <c r="AB397" s="1137"/>
      <c r="AC397" s="1137"/>
      <c r="AD397" s="1347"/>
    </row>
    <row r="398" spans="1:30" s="832" customFormat="1" ht="15.75" hidden="1">
      <c r="A398" s="1630"/>
      <c r="B398" s="1343"/>
      <c r="C398" s="1540"/>
      <c r="D398" s="1540"/>
      <c r="E398" s="1540"/>
      <c r="F398" s="1540"/>
      <c r="G398" s="1540"/>
      <c r="H398" s="1540"/>
      <c r="I398" s="1352">
        <f t="shared" si="182"/>
        <v>0</v>
      </c>
      <c r="J398" s="1137"/>
      <c r="K398" s="1137"/>
      <c r="L398" s="1348"/>
      <c r="M398" s="1137"/>
      <c r="N398" s="1347"/>
      <c r="O398" s="1592">
        <f t="shared" si="183"/>
        <v>0</v>
      </c>
      <c r="P398" s="1252"/>
      <c r="Q398" s="1252"/>
      <c r="R398" s="1252"/>
      <c r="S398" s="1350">
        <f t="shared" si="186"/>
        <v>0</v>
      </c>
      <c r="T398" s="451"/>
      <c r="U398" s="660"/>
      <c r="V398" s="451">
        <f t="shared" si="187"/>
        <v>0</v>
      </c>
      <c r="W398" s="451">
        <f t="shared" si="184"/>
        <v>0</v>
      </c>
      <c r="X398" s="660">
        <f t="shared" si="185"/>
        <v>0</v>
      </c>
      <c r="Y398" s="1352"/>
      <c r="Z398" s="1137"/>
      <c r="AA398" s="1347"/>
      <c r="AB398" s="1137"/>
      <c r="AC398" s="1137"/>
      <c r="AD398" s="1347"/>
    </row>
    <row r="399" spans="1:30" s="832" customFormat="1" ht="15.75" hidden="1">
      <c r="A399" s="1630"/>
      <c r="B399" s="1343"/>
      <c r="C399" s="1540"/>
      <c r="D399" s="1540"/>
      <c r="E399" s="1540"/>
      <c r="F399" s="1540"/>
      <c r="G399" s="1540"/>
      <c r="H399" s="1540"/>
      <c r="I399" s="1352">
        <f t="shared" si="182"/>
        <v>0</v>
      </c>
      <c r="J399" s="1137"/>
      <c r="K399" s="1137"/>
      <c r="L399" s="1348"/>
      <c r="M399" s="1137"/>
      <c r="N399" s="1347"/>
      <c r="O399" s="1592">
        <f t="shared" si="183"/>
        <v>0</v>
      </c>
      <c r="P399" s="1252"/>
      <c r="Q399" s="1252"/>
      <c r="R399" s="1252"/>
      <c r="S399" s="1350">
        <f t="shared" si="186"/>
        <v>0</v>
      </c>
      <c r="T399" s="451"/>
      <c r="U399" s="660"/>
      <c r="V399" s="451">
        <f t="shared" si="187"/>
        <v>0</v>
      </c>
      <c r="W399" s="451">
        <f t="shared" si="184"/>
        <v>0</v>
      </c>
      <c r="X399" s="660">
        <f t="shared" si="185"/>
        <v>0</v>
      </c>
      <c r="Y399" s="1352"/>
      <c r="Z399" s="1137"/>
      <c r="AA399" s="1347"/>
      <c r="AB399" s="1137"/>
      <c r="AC399" s="1137"/>
      <c r="AD399" s="1347"/>
    </row>
    <row r="400" spans="1:30" s="832" customFormat="1" ht="15.75" hidden="1">
      <c r="A400" s="1630"/>
      <c r="B400" s="1343"/>
      <c r="C400" s="1540"/>
      <c r="D400" s="1540"/>
      <c r="E400" s="1540"/>
      <c r="F400" s="1540"/>
      <c r="G400" s="1540"/>
      <c r="H400" s="1540"/>
      <c r="I400" s="1352">
        <f t="shared" si="182"/>
        <v>0</v>
      </c>
      <c r="J400" s="1137"/>
      <c r="K400" s="1137"/>
      <c r="L400" s="1348"/>
      <c r="M400" s="1137"/>
      <c r="N400" s="1347"/>
      <c r="O400" s="1592">
        <f t="shared" si="183"/>
        <v>0</v>
      </c>
      <c r="P400" s="1252"/>
      <c r="Q400" s="1252"/>
      <c r="R400" s="1252"/>
      <c r="S400" s="1350">
        <f t="shared" si="186"/>
        <v>0</v>
      </c>
      <c r="T400" s="451"/>
      <c r="U400" s="660"/>
      <c r="V400" s="451">
        <f t="shared" si="187"/>
        <v>0</v>
      </c>
      <c r="W400" s="451">
        <f t="shared" si="184"/>
        <v>0</v>
      </c>
      <c r="X400" s="660">
        <f t="shared" si="185"/>
        <v>0</v>
      </c>
      <c r="Y400" s="1352"/>
      <c r="Z400" s="1137"/>
      <c r="AA400" s="1347"/>
      <c r="AB400" s="1137"/>
      <c r="AC400" s="1137"/>
      <c r="AD400" s="1347"/>
    </row>
    <row r="401" spans="1:30" s="832" customFormat="1" ht="15.75" hidden="1">
      <c r="A401" s="1630"/>
      <c r="B401" s="1631"/>
      <c r="C401" s="1458"/>
      <c r="D401" s="1458"/>
      <c r="E401" s="1458"/>
      <c r="F401" s="1458"/>
      <c r="G401" s="1458"/>
      <c r="H401" s="1458"/>
      <c r="I401" s="1352">
        <f t="shared" si="182"/>
        <v>0</v>
      </c>
      <c r="J401" s="1137"/>
      <c r="K401" s="1137"/>
      <c r="L401" s="1348"/>
      <c r="M401" s="1137"/>
      <c r="N401" s="1347"/>
      <c r="O401" s="1592">
        <f t="shared" si="183"/>
        <v>0</v>
      </c>
      <c r="P401" s="1252"/>
      <c r="Q401" s="1252"/>
      <c r="R401" s="1252"/>
      <c r="S401" s="1350">
        <f t="shared" si="186"/>
        <v>0</v>
      </c>
      <c r="T401" s="451"/>
      <c r="U401" s="660"/>
      <c r="V401" s="451">
        <f t="shared" si="187"/>
        <v>0</v>
      </c>
      <c r="W401" s="451">
        <f t="shared" si="184"/>
        <v>0</v>
      </c>
      <c r="X401" s="660">
        <f t="shared" si="185"/>
        <v>0</v>
      </c>
      <c r="Y401" s="1352"/>
      <c r="Z401" s="1137"/>
      <c r="AA401" s="1347"/>
      <c r="AB401" s="1137"/>
      <c r="AC401" s="1137"/>
      <c r="AD401" s="1347"/>
    </row>
    <row r="402" spans="1:30" s="832" customFormat="1" ht="16.5" hidden="1" customHeight="1">
      <c r="A402" s="1630"/>
      <c r="B402" s="1343"/>
      <c r="C402" s="1540"/>
      <c r="D402" s="1540"/>
      <c r="E402" s="1540"/>
      <c r="F402" s="1540"/>
      <c r="G402" s="1540"/>
      <c r="H402" s="1540"/>
      <c r="I402" s="1352">
        <f t="shared" si="182"/>
        <v>0</v>
      </c>
      <c r="J402" s="1137"/>
      <c r="K402" s="1137"/>
      <c r="L402" s="1348"/>
      <c r="M402" s="1137"/>
      <c r="N402" s="1347"/>
      <c r="O402" s="1592">
        <f t="shared" si="183"/>
        <v>0</v>
      </c>
      <c r="P402" s="1252"/>
      <c r="Q402" s="1252"/>
      <c r="R402" s="1252"/>
      <c r="S402" s="1350">
        <f t="shared" si="186"/>
        <v>0</v>
      </c>
      <c r="T402" s="451"/>
      <c r="U402" s="660"/>
      <c r="V402" s="451">
        <f t="shared" si="187"/>
        <v>0</v>
      </c>
      <c r="W402" s="451">
        <f t="shared" si="184"/>
        <v>0</v>
      </c>
      <c r="X402" s="660">
        <f t="shared" si="185"/>
        <v>0</v>
      </c>
      <c r="Y402" s="1352"/>
      <c r="Z402" s="1137"/>
      <c r="AA402" s="1347"/>
      <c r="AB402" s="1137"/>
      <c r="AC402" s="1137"/>
      <c r="AD402" s="1347"/>
    </row>
    <row r="403" spans="1:30" s="832" customFormat="1" ht="15.75" hidden="1">
      <c r="A403" s="1630"/>
      <c r="B403" s="1632"/>
      <c r="C403" s="1633"/>
      <c r="D403" s="1633"/>
      <c r="E403" s="1633"/>
      <c r="F403" s="1633"/>
      <c r="G403" s="1633"/>
      <c r="H403" s="1633"/>
      <c r="I403" s="1352">
        <f t="shared" si="182"/>
        <v>0</v>
      </c>
      <c r="J403" s="1137"/>
      <c r="K403" s="1137"/>
      <c r="L403" s="1348"/>
      <c r="M403" s="1137"/>
      <c r="N403" s="1347"/>
      <c r="O403" s="1592">
        <f t="shared" si="183"/>
        <v>0</v>
      </c>
      <c r="P403" s="1252"/>
      <c r="Q403" s="1252"/>
      <c r="R403" s="1252"/>
      <c r="S403" s="1350">
        <f t="shared" si="186"/>
        <v>0</v>
      </c>
      <c r="T403" s="451"/>
      <c r="U403" s="660"/>
      <c r="V403" s="451">
        <f t="shared" si="187"/>
        <v>0</v>
      </c>
      <c r="W403" s="451">
        <f t="shared" si="184"/>
        <v>0</v>
      </c>
      <c r="X403" s="660">
        <f t="shared" si="185"/>
        <v>0</v>
      </c>
      <c r="Y403" s="1352"/>
      <c r="Z403" s="1137"/>
      <c r="AA403" s="1347"/>
      <c r="AB403" s="1137"/>
      <c r="AC403" s="1137"/>
      <c r="AD403" s="1347"/>
    </row>
    <row r="404" spans="1:30" s="832" customFormat="1" ht="15.75" hidden="1">
      <c r="A404" s="1630"/>
      <c r="B404" s="1632"/>
      <c r="C404" s="1633"/>
      <c r="D404" s="1633"/>
      <c r="E404" s="1633"/>
      <c r="F404" s="1633"/>
      <c r="G404" s="1633"/>
      <c r="H404" s="1633"/>
      <c r="I404" s="1352">
        <f t="shared" si="182"/>
        <v>0</v>
      </c>
      <c r="J404" s="1137"/>
      <c r="K404" s="1137"/>
      <c r="L404" s="1348"/>
      <c r="M404" s="1137"/>
      <c r="N404" s="1347"/>
      <c r="O404" s="1592">
        <f t="shared" si="183"/>
        <v>0</v>
      </c>
      <c r="P404" s="1252"/>
      <c r="Q404" s="1252"/>
      <c r="R404" s="1252"/>
      <c r="S404" s="1350">
        <f t="shared" si="186"/>
        <v>0</v>
      </c>
      <c r="T404" s="451"/>
      <c r="U404" s="660"/>
      <c r="V404" s="451">
        <f t="shared" si="187"/>
        <v>0</v>
      </c>
      <c r="W404" s="451">
        <f t="shared" si="184"/>
        <v>0</v>
      </c>
      <c r="X404" s="660">
        <f t="shared" si="185"/>
        <v>0</v>
      </c>
      <c r="Y404" s="1352"/>
      <c r="Z404" s="1137"/>
      <c r="AA404" s="1347"/>
      <c r="AB404" s="1137"/>
      <c r="AC404" s="1137"/>
      <c r="AD404" s="1347"/>
    </row>
    <row r="405" spans="1:30" s="832" customFormat="1" ht="15.75" hidden="1">
      <c r="A405" s="1630"/>
      <c r="B405" s="1632"/>
      <c r="C405" s="1633"/>
      <c r="D405" s="1633"/>
      <c r="E405" s="1633"/>
      <c r="F405" s="1633"/>
      <c r="G405" s="1633"/>
      <c r="H405" s="1633"/>
      <c r="I405" s="1352">
        <f t="shared" si="182"/>
        <v>0</v>
      </c>
      <c r="J405" s="1137"/>
      <c r="K405" s="1137"/>
      <c r="L405" s="1348"/>
      <c r="M405" s="1137"/>
      <c r="N405" s="1347"/>
      <c r="O405" s="1592">
        <f t="shared" si="183"/>
        <v>0</v>
      </c>
      <c r="P405" s="1252"/>
      <c r="Q405" s="1252"/>
      <c r="R405" s="1252"/>
      <c r="S405" s="1350">
        <f t="shared" si="186"/>
        <v>0</v>
      </c>
      <c r="T405" s="451"/>
      <c r="U405" s="660"/>
      <c r="V405" s="451">
        <f t="shared" si="187"/>
        <v>0</v>
      </c>
      <c r="W405" s="451">
        <f t="shared" si="184"/>
        <v>0</v>
      </c>
      <c r="X405" s="660">
        <f t="shared" si="185"/>
        <v>0</v>
      </c>
      <c r="Y405" s="1352"/>
      <c r="Z405" s="1137"/>
      <c r="AA405" s="1347"/>
      <c r="AB405" s="1137"/>
      <c r="AC405" s="1137"/>
      <c r="AD405" s="1347"/>
    </row>
    <row r="406" spans="1:30" s="832" customFormat="1" ht="15.75" hidden="1">
      <c r="A406" s="1630"/>
      <c r="B406" s="1632"/>
      <c r="C406" s="1633"/>
      <c r="D406" s="1633"/>
      <c r="E406" s="1633"/>
      <c r="F406" s="1633"/>
      <c r="G406" s="1633"/>
      <c r="H406" s="1633"/>
      <c r="I406" s="1352">
        <f t="shared" si="182"/>
        <v>0</v>
      </c>
      <c r="J406" s="1137"/>
      <c r="K406" s="1137"/>
      <c r="L406" s="1348"/>
      <c r="M406" s="1137"/>
      <c r="N406" s="1347"/>
      <c r="O406" s="1592">
        <f t="shared" si="183"/>
        <v>0</v>
      </c>
      <c r="P406" s="1252"/>
      <c r="Q406" s="1252"/>
      <c r="R406" s="1252"/>
      <c r="S406" s="1350"/>
      <c r="T406" s="451"/>
      <c r="U406" s="660"/>
      <c r="V406" s="451">
        <f t="shared" si="187"/>
        <v>0</v>
      </c>
      <c r="W406" s="451">
        <f t="shared" si="184"/>
        <v>0</v>
      </c>
      <c r="X406" s="660">
        <f t="shared" si="185"/>
        <v>0</v>
      </c>
      <c r="Y406" s="1352"/>
      <c r="Z406" s="1137"/>
      <c r="AA406" s="1347"/>
      <c r="AB406" s="1137"/>
      <c r="AC406" s="1137"/>
      <c r="AD406" s="1347"/>
    </row>
    <row r="407" spans="1:30" s="832" customFormat="1" ht="15.75" hidden="1">
      <c r="A407" s="1630"/>
      <c r="B407" s="1632"/>
      <c r="C407" s="1633"/>
      <c r="D407" s="1633"/>
      <c r="E407" s="1633"/>
      <c r="F407" s="1633"/>
      <c r="G407" s="1633"/>
      <c r="H407" s="1633"/>
      <c r="I407" s="1352">
        <f t="shared" si="182"/>
        <v>0</v>
      </c>
      <c r="J407" s="1137"/>
      <c r="K407" s="1137"/>
      <c r="L407" s="1348"/>
      <c r="M407" s="1137"/>
      <c r="N407" s="1347"/>
      <c r="O407" s="1592">
        <f t="shared" si="183"/>
        <v>0</v>
      </c>
      <c r="P407" s="1252"/>
      <c r="Q407" s="1252"/>
      <c r="R407" s="1252"/>
      <c r="S407" s="1350">
        <f>SUM(V407:Z407)</f>
        <v>0</v>
      </c>
      <c r="T407" s="451"/>
      <c r="U407" s="660"/>
      <c r="V407" s="451">
        <f t="shared" si="187"/>
        <v>0</v>
      </c>
      <c r="W407" s="451">
        <f t="shared" si="184"/>
        <v>0</v>
      </c>
      <c r="X407" s="660">
        <f t="shared" si="185"/>
        <v>0</v>
      </c>
      <c r="Y407" s="1352"/>
      <c r="Z407" s="1137"/>
      <c r="AA407" s="1347"/>
      <c r="AB407" s="1137"/>
      <c r="AC407" s="1137"/>
      <c r="AD407" s="1347"/>
    </row>
    <row r="408" spans="1:30" s="832" customFormat="1" ht="15.75" hidden="1">
      <c r="A408" s="1630"/>
      <c r="B408" s="1632"/>
      <c r="C408" s="1633"/>
      <c r="D408" s="1633"/>
      <c r="E408" s="1633"/>
      <c r="F408" s="1633"/>
      <c r="G408" s="1633"/>
      <c r="H408" s="1633"/>
      <c r="I408" s="1352">
        <f t="shared" si="182"/>
        <v>0</v>
      </c>
      <c r="J408" s="1137"/>
      <c r="K408" s="1137"/>
      <c r="L408" s="1348"/>
      <c r="M408" s="1137"/>
      <c r="N408" s="1347"/>
      <c r="O408" s="1592">
        <f t="shared" si="183"/>
        <v>0</v>
      </c>
      <c r="P408" s="1252"/>
      <c r="Q408" s="1252"/>
      <c r="R408" s="1252"/>
      <c r="S408" s="1350">
        <f>SUM(V408:Z408)</f>
        <v>0</v>
      </c>
      <c r="T408" s="451"/>
      <c r="U408" s="660"/>
      <c r="V408" s="451">
        <f t="shared" si="187"/>
        <v>0</v>
      </c>
      <c r="W408" s="451">
        <f t="shared" si="184"/>
        <v>0</v>
      </c>
      <c r="X408" s="660">
        <f t="shared" si="185"/>
        <v>0</v>
      </c>
      <c r="Y408" s="1352"/>
      <c r="Z408" s="1137"/>
      <c r="AA408" s="1347"/>
      <c r="AB408" s="1137"/>
      <c r="AC408" s="1137"/>
      <c r="AD408" s="1347"/>
    </row>
    <row r="409" spans="1:30" s="832" customFormat="1" ht="15.75" hidden="1">
      <c r="A409" s="1630"/>
      <c r="B409" s="1632"/>
      <c r="C409" s="1633"/>
      <c r="D409" s="1633"/>
      <c r="E409" s="1633"/>
      <c r="F409" s="1633"/>
      <c r="G409" s="1633"/>
      <c r="H409" s="1633"/>
      <c r="I409" s="1352">
        <f t="shared" si="182"/>
        <v>0</v>
      </c>
      <c r="J409" s="1137"/>
      <c r="K409" s="1137"/>
      <c r="L409" s="1348"/>
      <c r="M409" s="1137"/>
      <c r="N409" s="1347"/>
      <c r="O409" s="1592">
        <f t="shared" si="183"/>
        <v>0</v>
      </c>
      <c r="P409" s="1252"/>
      <c r="Q409" s="1252"/>
      <c r="R409" s="1252"/>
      <c r="S409" s="1350">
        <f>SUM(V409:Z409)</f>
        <v>0</v>
      </c>
      <c r="T409" s="451"/>
      <c r="U409" s="660"/>
      <c r="V409" s="451">
        <f t="shared" si="187"/>
        <v>0</v>
      </c>
      <c r="W409" s="451">
        <f t="shared" si="184"/>
        <v>0</v>
      </c>
      <c r="X409" s="660">
        <f t="shared" si="185"/>
        <v>0</v>
      </c>
      <c r="Y409" s="1352"/>
      <c r="Z409" s="1137"/>
      <c r="AA409" s="1347"/>
      <c r="AB409" s="1137"/>
      <c r="AC409" s="1137"/>
      <c r="AD409" s="1347"/>
    </row>
    <row r="410" spans="1:30" s="832" customFormat="1" ht="15.75" hidden="1">
      <c r="A410" s="1630"/>
      <c r="B410" s="1632"/>
      <c r="C410" s="1633"/>
      <c r="D410" s="1633"/>
      <c r="E410" s="1633"/>
      <c r="F410" s="1633"/>
      <c r="G410" s="1633"/>
      <c r="H410" s="1633"/>
      <c r="I410" s="1352">
        <f t="shared" si="182"/>
        <v>0</v>
      </c>
      <c r="J410" s="1137"/>
      <c r="K410" s="1137"/>
      <c r="L410" s="1348"/>
      <c r="M410" s="1137"/>
      <c r="N410" s="1347"/>
      <c r="O410" s="1592">
        <f t="shared" si="183"/>
        <v>0</v>
      </c>
      <c r="P410" s="1252"/>
      <c r="Q410" s="1252"/>
      <c r="R410" s="1252"/>
      <c r="S410" s="1350">
        <f>SUM(V410:Z410)</f>
        <v>0</v>
      </c>
      <c r="T410" s="451"/>
      <c r="U410" s="660"/>
      <c r="V410" s="451">
        <f t="shared" si="187"/>
        <v>0</v>
      </c>
      <c r="W410" s="451">
        <f t="shared" si="184"/>
        <v>0</v>
      </c>
      <c r="X410" s="660">
        <f t="shared" si="185"/>
        <v>0</v>
      </c>
      <c r="Y410" s="1352"/>
      <c r="Z410" s="1137"/>
      <c r="AA410" s="1347"/>
      <c r="AB410" s="1137"/>
      <c r="AC410" s="1137"/>
      <c r="AD410" s="1347"/>
    </row>
    <row r="411" spans="1:30" s="832" customFormat="1" ht="6" customHeight="1">
      <c r="A411" s="1630"/>
      <c r="B411" s="1632"/>
      <c r="C411" s="1633"/>
      <c r="D411" s="1633"/>
      <c r="E411" s="1633"/>
      <c r="F411" s="1633"/>
      <c r="G411" s="1633"/>
      <c r="H411" s="1633"/>
      <c r="I411" s="1352"/>
      <c r="J411" s="1137"/>
      <c r="K411" s="1137"/>
      <c r="L411" s="1348"/>
      <c r="M411" s="1137"/>
      <c r="N411" s="1347"/>
      <c r="O411" s="1592">
        <f t="shared" si="183"/>
        <v>0</v>
      </c>
      <c r="P411" s="1252"/>
      <c r="Q411" s="1252"/>
      <c r="R411" s="1252"/>
      <c r="S411" s="1350"/>
      <c r="T411" s="451"/>
      <c r="U411" s="660"/>
      <c r="V411" s="451"/>
      <c r="W411" s="451"/>
      <c r="X411" s="660"/>
      <c r="Y411" s="1352"/>
      <c r="Z411" s="1137"/>
      <c r="AA411" s="1347"/>
      <c r="AB411" s="1137"/>
      <c r="AC411" s="1137"/>
      <c r="AD411" s="1347"/>
    </row>
    <row r="412" spans="1:30" s="832" customFormat="1" ht="11.25" customHeight="1" thickBot="1">
      <c r="A412" s="1630"/>
      <c r="B412" s="1632"/>
      <c r="C412" s="1633"/>
      <c r="D412" s="1633"/>
      <c r="E412" s="1633"/>
      <c r="F412" s="1633"/>
      <c r="G412" s="1633"/>
      <c r="H412" s="1633"/>
      <c r="I412" s="1352"/>
      <c r="J412" s="1137"/>
      <c r="K412" s="1137"/>
      <c r="L412" s="1423"/>
      <c r="M412" s="1424"/>
      <c r="N412" s="1422"/>
      <c r="O412" s="1589"/>
      <c r="P412" s="451"/>
      <c r="Q412" s="451"/>
      <c r="R412" s="451"/>
      <c r="S412" s="1350"/>
      <c r="T412" s="451"/>
      <c r="U412" s="660"/>
      <c r="V412" s="1430"/>
      <c r="W412" s="1430"/>
      <c r="X412" s="1429"/>
      <c r="Y412" s="1352"/>
      <c r="Z412" s="1137"/>
      <c r="AA412" s="1347"/>
      <c r="AB412" s="1424"/>
      <c r="AC412" s="1424"/>
      <c r="AD412" s="1422"/>
    </row>
    <row r="413" spans="1:30" ht="17.25" customHeight="1">
      <c r="A413" s="1432" t="s">
        <v>1332</v>
      </c>
      <c r="B413" s="1487"/>
      <c r="C413" s="1577">
        <f t="shared" ref="C413:R413" si="188">SUM(C384:C412)/2</f>
        <v>36000000</v>
      </c>
      <c r="D413" s="1577">
        <f t="shared" si="188"/>
        <v>36000000</v>
      </c>
      <c r="E413" s="1577">
        <f t="shared" si="188"/>
        <v>0</v>
      </c>
      <c r="F413" s="1577">
        <f t="shared" si="188"/>
        <v>36000000</v>
      </c>
      <c r="G413" s="1577">
        <f t="shared" si="188"/>
        <v>0</v>
      </c>
      <c r="H413" s="1577">
        <f t="shared" si="188"/>
        <v>0</v>
      </c>
      <c r="I413" s="408">
        <f t="shared" si="188"/>
        <v>36000000</v>
      </c>
      <c r="J413" s="1441">
        <f t="shared" si="188"/>
        <v>36000000</v>
      </c>
      <c r="K413" s="1436">
        <f t="shared" si="188"/>
        <v>0</v>
      </c>
      <c r="L413" s="1438">
        <f t="shared" si="188"/>
        <v>36000000</v>
      </c>
      <c r="M413" s="1437">
        <f t="shared" si="188"/>
        <v>0</v>
      </c>
      <c r="N413" s="1439">
        <f t="shared" si="188"/>
        <v>0</v>
      </c>
      <c r="O413" s="1441">
        <f t="shared" si="188"/>
        <v>0</v>
      </c>
      <c r="P413" s="1436">
        <f t="shared" si="188"/>
        <v>0</v>
      </c>
      <c r="Q413" s="1437">
        <f t="shared" si="188"/>
        <v>0</v>
      </c>
      <c r="R413" s="1437">
        <f t="shared" si="188"/>
        <v>0</v>
      </c>
      <c r="S413" s="1487">
        <f t="shared" ref="S413:X413" si="189">SUM(S387:S412)</f>
        <v>1000000</v>
      </c>
      <c r="T413" s="1487">
        <f t="shared" si="189"/>
        <v>1000000</v>
      </c>
      <c r="U413" s="1487">
        <f t="shared" si="189"/>
        <v>0</v>
      </c>
      <c r="V413" s="1487">
        <f t="shared" si="189"/>
        <v>1000000</v>
      </c>
      <c r="W413" s="1487">
        <f t="shared" si="189"/>
        <v>0</v>
      </c>
      <c r="X413" s="1487">
        <f t="shared" si="189"/>
        <v>0</v>
      </c>
      <c r="Y413" s="408"/>
      <c r="Z413" s="1441"/>
      <c r="AA413" s="1442"/>
      <c r="AB413" s="1436"/>
      <c r="AC413" s="1437"/>
      <c r="AD413" s="1439"/>
    </row>
    <row r="414" spans="1:30" ht="15">
      <c r="C414" s="1541"/>
      <c r="D414" s="1541"/>
      <c r="E414" s="1541"/>
      <c r="F414" s="1541"/>
      <c r="G414" s="1541"/>
      <c r="H414" s="1541"/>
      <c r="I414" s="1504"/>
      <c r="J414" s="1504"/>
      <c r="K414" s="100"/>
      <c r="L414" s="100"/>
      <c r="M414" s="100"/>
      <c r="N414" s="100"/>
      <c r="O414" s="1505"/>
    </row>
    <row r="415" spans="1:30" ht="15">
      <c r="C415" s="1541"/>
      <c r="D415" s="1541"/>
      <c r="E415" s="1541"/>
      <c r="F415" s="1541"/>
      <c r="G415" s="1541"/>
      <c r="H415" s="1541"/>
      <c r="I415" s="1504"/>
      <c r="J415" s="1504"/>
      <c r="K415" s="100"/>
      <c r="L415" s="100"/>
      <c r="M415" s="100"/>
      <c r="N415" s="100"/>
      <c r="O415" s="1505"/>
    </row>
    <row r="416" spans="1:30" ht="15">
      <c r="C416" s="1541"/>
      <c r="D416" s="1541"/>
      <c r="E416" s="1541"/>
      <c r="F416" s="1541"/>
      <c r="G416" s="1541"/>
      <c r="H416" s="1541"/>
      <c r="I416" s="1504"/>
      <c r="J416" s="1504"/>
      <c r="K416" s="100"/>
      <c r="L416" s="100"/>
      <c r="M416" s="100"/>
      <c r="N416" s="100"/>
      <c r="O416" s="1505"/>
      <c r="P416" s="101"/>
      <c r="Q416" s="101"/>
      <c r="R416" s="101"/>
      <c r="S416" s="97"/>
      <c r="T416" s="97"/>
      <c r="U416" s="97"/>
      <c r="V416" s="97"/>
      <c r="W416" s="97"/>
      <c r="X416" s="97"/>
      <c r="Y416" s="101"/>
      <c r="Z416" s="101"/>
      <c r="AA416" s="101"/>
      <c r="AB416" s="101"/>
      <c r="AC416" s="101"/>
      <c r="AD416" s="101"/>
    </row>
    <row r="417" spans="3:30" ht="15">
      <c r="C417" s="1541"/>
      <c r="D417" s="1541"/>
      <c r="E417" s="1541"/>
      <c r="F417" s="1541"/>
      <c r="G417" s="1541"/>
      <c r="H417" s="1541"/>
      <c r="I417" s="1504"/>
      <c r="J417" s="1504"/>
      <c r="K417" s="100"/>
      <c r="L417" s="100"/>
      <c r="M417" s="100"/>
      <c r="N417" s="100"/>
      <c r="O417" s="1505"/>
      <c r="P417" s="101"/>
      <c r="Q417" s="101"/>
      <c r="R417" s="101"/>
      <c r="S417" s="97"/>
      <c r="T417" s="97"/>
      <c r="U417" s="97"/>
      <c r="V417" s="97"/>
      <c r="W417" s="97"/>
      <c r="X417" s="97"/>
      <c r="Y417" s="101"/>
      <c r="Z417" s="101"/>
      <c r="AA417" s="101"/>
      <c r="AB417" s="101"/>
      <c r="AC417" s="101"/>
      <c r="AD417" s="101"/>
    </row>
    <row r="418" spans="3:30" ht="15">
      <c r="C418" s="1541"/>
      <c r="D418" s="1541"/>
      <c r="E418" s="1541"/>
      <c r="F418" s="1541"/>
      <c r="G418" s="1541"/>
      <c r="H418" s="1541"/>
      <c r="I418" s="1504"/>
      <c r="J418" s="1504"/>
      <c r="K418" s="100"/>
      <c r="L418" s="100"/>
      <c r="M418" s="100"/>
      <c r="N418" s="100"/>
      <c r="O418" s="1505"/>
      <c r="P418" s="101"/>
      <c r="Q418" s="101"/>
      <c r="R418" s="101"/>
      <c r="S418" s="97"/>
      <c r="T418" s="97"/>
      <c r="U418" s="97"/>
      <c r="V418" s="97"/>
      <c r="W418" s="97"/>
      <c r="X418" s="97"/>
      <c r="Y418" s="101"/>
      <c r="Z418" s="101"/>
      <c r="AA418" s="101"/>
      <c r="AB418" s="101"/>
      <c r="AC418" s="101"/>
      <c r="AD418" s="101"/>
    </row>
    <row r="419" spans="3:30" ht="15">
      <c r="C419" s="1541"/>
      <c r="D419" s="1541"/>
      <c r="E419" s="1541"/>
      <c r="F419" s="1541"/>
      <c r="G419" s="1541"/>
      <c r="H419" s="1541"/>
      <c r="I419" s="1504"/>
      <c r="J419" s="1504"/>
      <c r="K419" s="100"/>
      <c r="L419" s="100"/>
      <c r="M419" s="100"/>
      <c r="N419" s="100"/>
      <c r="O419" s="1505"/>
      <c r="P419" s="101"/>
      <c r="Q419" s="101"/>
      <c r="R419" s="101"/>
      <c r="S419" s="97"/>
      <c r="T419" s="97"/>
      <c r="U419" s="97"/>
      <c r="V419" s="97"/>
      <c r="W419" s="97"/>
      <c r="X419" s="97"/>
      <c r="Y419" s="101"/>
      <c r="Z419" s="101"/>
      <c r="AA419" s="101"/>
      <c r="AB419" s="101"/>
      <c r="AC419" s="101"/>
      <c r="AD419" s="101"/>
    </row>
    <row r="420" spans="3:30" ht="15">
      <c r="C420" s="1541"/>
      <c r="D420" s="1541"/>
      <c r="E420" s="1541"/>
      <c r="F420" s="1541"/>
      <c r="G420" s="1541"/>
      <c r="H420" s="1541"/>
      <c r="I420" s="1504"/>
      <c r="J420" s="1504"/>
      <c r="K420" s="100"/>
      <c r="L420" s="100"/>
      <c r="M420" s="100"/>
      <c r="N420" s="100"/>
      <c r="O420" s="1505"/>
      <c r="P420" s="101"/>
      <c r="Q420" s="101"/>
      <c r="R420" s="101"/>
      <c r="S420" s="97"/>
      <c r="T420" s="97"/>
      <c r="U420" s="97"/>
      <c r="V420" s="97"/>
      <c r="W420" s="97"/>
      <c r="X420" s="97"/>
      <c r="Y420" s="101"/>
      <c r="Z420" s="101"/>
      <c r="AA420" s="101"/>
      <c r="AB420" s="101"/>
      <c r="AC420" s="101"/>
      <c r="AD420" s="101"/>
    </row>
    <row r="421" spans="3:30" ht="15">
      <c r="C421" s="1541"/>
      <c r="D421" s="1541"/>
      <c r="E421" s="1541"/>
      <c r="F421" s="1541"/>
      <c r="G421" s="1541"/>
      <c r="H421" s="1541"/>
      <c r="I421" s="1504"/>
      <c r="J421" s="1504"/>
      <c r="K421" s="100"/>
      <c r="L421" s="100"/>
      <c r="M421" s="100"/>
      <c r="N421" s="100"/>
      <c r="O421" s="1505"/>
      <c r="P421" s="101"/>
      <c r="Q421" s="101"/>
      <c r="R421" s="101"/>
      <c r="S421" s="97"/>
      <c r="T421" s="97"/>
      <c r="U421" s="97"/>
      <c r="V421" s="97"/>
      <c r="W421" s="97"/>
      <c r="X421" s="97"/>
      <c r="Y421" s="101"/>
      <c r="Z421" s="101"/>
      <c r="AA421" s="101"/>
      <c r="AB421" s="101"/>
      <c r="AC421" s="101"/>
      <c r="AD421" s="101"/>
    </row>
    <row r="422" spans="3:30" ht="15">
      <c r="C422" s="1541"/>
      <c r="D422" s="1541"/>
      <c r="E422" s="1541"/>
      <c r="F422" s="1541"/>
      <c r="G422" s="1541"/>
      <c r="H422" s="1541"/>
      <c r="I422" s="1504"/>
      <c r="J422" s="1504"/>
      <c r="K422" s="100"/>
      <c r="L422" s="100"/>
      <c r="M422" s="100"/>
      <c r="N422" s="100"/>
      <c r="O422" s="1505"/>
      <c r="P422" s="101"/>
      <c r="Q422" s="101"/>
      <c r="R422" s="101"/>
      <c r="S422" s="97"/>
      <c r="T422" s="97"/>
      <c r="U422" s="97"/>
      <c r="V422" s="97"/>
      <c r="W422" s="97"/>
      <c r="X422" s="97"/>
      <c r="Y422" s="101"/>
      <c r="Z422" s="101"/>
      <c r="AA422" s="101"/>
      <c r="AB422" s="101"/>
      <c r="AC422" s="101"/>
      <c r="AD422" s="101"/>
    </row>
    <row r="423" spans="3:30" ht="15">
      <c r="C423" s="1541"/>
      <c r="D423" s="1541"/>
      <c r="E423" s="1541"/>
      <c r="F423" s="1541"/>
      <c r="G423" s="1541"/>
      <c r="H423" s="1541"/>
      <c r="I423" s="1504"/>
      <c r="J423" s="1504"/>
      <c r="K423" s="100"/>
      <c r="L423" s="100"/>
      <c r="M423" s="100"/>
      <c r="N423" s="100"/>
      <c r="O423" s="1505"/>
      <c r="P423" s="101"/>
      <c r="Q423" s="101"/>
      <c r="R423" s="101"/>
      <c r="S423" s="97"/>
      <c r="T423" s="97"/>
      <c r="U423" s="97"/>
      <c r="V423" s="97"/>
      <c r="W423" s="97"/>
      <c r="X423" s="97"/>
      <c r="Y423" s="101"/>
      <c r="Z423" s="101"/>
      <c r="AA423" s="101"/>
      <c r="AB423" s="101"/>
      <c r="AC423" s="101"/>
      <c r="AD423" s="101"/>
    </row>
    <row r="424" spans="3:30" ht="15">
      <c r="C424" s="1541"/>
      <c r="D424" s="1541"/>
      <c r="E424" s="1541"/>
      <c r="F424" s="1541"/>
      <c r="G424" s="1541"/>
      <c r="H424" s="1541"/>
      <c r="I424" s="1504"/>
      <c r="J424" s="1504"/>
      <c r="K424" s="100"/>
      <c r="L424" s="100"/>
      <c r="M424" s="100"/>
      <c r="N424" s="100"/>
      <c r="O424" s="1505"/>
      <c r="P424" s="101"/>
      <c r="Q424" s="101"/>
      <c r="R424" s="101"/>
      <c r="S424" s="97"/>
      <c r="T424" s="97"/>
      <c r="U424" s="97"/>
      <c r="V424" s="97"/>
      <c r="W424" s="97"/>
      <c r="X424" s="97"/>
      <c r="Y424" s="101"/>
      <c r="Z424" s="101"/>
      <c r="AA424" s="101"/>
      <c r="AB424" s="101"/>
      <c r="AC424" s="101"/>
      <c r="AD424" s="101"/>
    </row>
    <row r="425" spans="3:30" ht="15">
      <c r="C425" s="1541"/>
      <c r="D425" s="1541"/>
      <c r="E425" s="1541"/>
      <c r="F425" s="1541"/>
      <c r="G425" s="1541"/>
      <c r="H425" s="1541"/>
      <c r="I425" s="1504"/>
      <c r="J425" s="1504"/>
      <c r="K425" s="100"/>
      <c r="L425" s="100"/>
      <c r="M425" s="100"/>
      <c r="N425" s="100"/>
      <c r="O425" s="1505"/>
      <c r="P425" s="101"/>
      <c r="Q425" s="101"/>
      <c r="R425" s="101"/>
      <c r="S425" s="97"/>
      <c r="T425" s="97"/>
      <c r="U425" s="97"/>
      <c r="V425" s="97"/>
      <c r="W425" s="97"/>
      <c r="X425" s="97"/>
      <c r="Y425" s="101"/>
      <c r="Z425" s="101"/>
      <c r="AA425" s="101"/>
      <c r="AB425" s="101"/>
      <c r="AC425" s="101"/>
      <c r="AD425" s="101"/>
    </row>
    <row r="426" spans="3:30" ht="15">
      <c r="C426" s="1541"/>
      <c r="D426" s="1541"/>
      <c r="E426" s="1541"/>
      <c r="F426" s="1541"/>
      <c r="G426" s="1541"/>
      <c r="H426" s="1541"/>
      <c r="I426" s="1504"/>
      <c r="J426" s="1504"/>
      <c r="K426" s="100"/>
      <c r="L426" s="100"/>
      <c r="M426" s="100"/>
      <c r="N426" s="100"/>
      <c r="O426" s="1505"/>
      <c r="P426" s="101"/>
      <c r="Q426" s="101"/>
      <c r="R426" s="101"/>
      <c r="S426" s="97"/>
      <c r="T426" s="97"/>
      <c r="U426" s="97"/>
      <c r="V426" s="97"/>
      <c r="W426" s="97"/>
      <c r="X426" s="97"/>
      <c r="Y426" s="101"/>
      <c r="Z426" s="101"/>
      <c r="AA426" s="101"/>
      <c r="AB426" s="101"/>
      <c r="AC426" s="101"/>
      <c r="AD426" s="101"/>
    </row>
    <row r="427" spans="3:30" ht="15">
      <c r="C427" s="1541"/>
      <c r="D427" s="1541"/>
      <c r="E427" s="1541"/>
      <c r="F427" s="1541"/>
      <c r="G427" s="1541"/>
      <c r="H427" s="1541"/>
      <c r="I427" s="1504"/>
      <c r="J427" s="1504"/>
      <c r="K427" s="100"/>
      <c r="L427" s="100"/>
      <c r="M427" s="100"/>
      <c r="N427" s="100"/>
      <c r="O427" s="1505"/>
      <c r="P427" s="101"/>
      <c r="Q427" s="101"/>
      <c r="R427" s="101"/>
      <c r="S427" s="97"/>
      <c r="T427" s="97"/>
      <c r="U427" s="97"/>
      <c r="V427" s="97"/>
      <c r="W427" s="97"/>
      <c r="X427" s="97"/>
      <c r="Y427" s="101"/>
      <c r="Z427" s="101"/>
      <c r="AA427" s="101"/>
      <c r="AB427" s="101"/>
      <c r="AC427" s="101"/>
      <c r="AD427" s="101"/>
    </row>
    <row r="428" spans="3:30" ht="15">
      <c r="C428" s="1541"/>
      <c r="D428" s="1541"/>
      <c r="E428" s="1541"/>
      <c r="F428" s="1541"/>
      <c r="G428" s="1541"/>
      <c r="H428" s="1541"/>
      <c r="I428" s="1504"/>
      <c r="J428" s="1504"/>
      <c r="K428" s="100"/>
      <c r="L428" s="100"/>
      <c r="M428" s="100"/>
      <c r="N428" s="100"/>
      <c r="O428" s="1505"/>
      <c r="P428" s="101"/>
      <c r="Q428" s="101"/>
      <c r="R428" s="101"/>
      <c r="S428" s="97"/>
      <c r="T428" s="97"/>
      <c r="U428" s="97"/>
      <c r="V428" s="97"/>
      <c r="W428" s="97"/>
      <c r="X428" s="97"/>
      <c r="Y428" s="101"/>
      <c r="Z428" s="101"/>
      <c r="AA428" s="101"/>
      <c r="AB428" s="101"/>
      <c r="AC428" s="101"/>
      <c r="AD428" s="101"/>
    </row>
    <row r="429" spans="3:30" ht="15">
      <c r="C429" s="1541"/>
      <c r="D429" s="1541"/>
      <c r="E429" s="1541"/>
      <c r="F429" s="1541"/>
      <c r="G429" s="1541"/>
      <c r="H429" s="1541"/>
      <c r="I429" s="1504"/>
      <c r="J429" s="1504"/>
      <c r="K429" s="100"/>
      <c r="L429" s="100"/>
      <c r="M429" s="100"/>
      <c r="N429" s="100"/>
      <c r="O429" s="1505"/>
      <c r="P429" s="101"/>
      <c r="Q429" s="101"/>
      <c r="R429" s="101"/>
      <c r="S429" s="97"/>
      <c r="T429" s="97"/>
      <c r="U429" s="97"/>
      <c r="V429" s="97"/>
      <c r="W429" s="97"/>
      <c r="X429" s="97"/>
      <c r="Y429" s="101"/>
      <c r="Z429" s="101"/>
      <c r="AA429" s="101"/>
      <c r="AB429" s="101"/>
      <c r="AC429" s="101"/>
      <c r="AD429" s="101"/>
    </row>
    <row r="430" spans="3:30" ht="15">
      <c r="C430" s="1541"/>
      <c r="D430" s="1541"/>
      <c r="E430" s="1541"/>
      <c r="F430" s="1541"/>
      <c r="G430" s="1541"/>
      <c r="H430" s="1541"/>
      <c r="I430" s="1504"/>
      <c r="J430" s="1504"/>
      <c r="K430" s="100"/>
      <c r="L430" s="100"/>
      <c r="M430" s="100"/>
      <c r="N430" s="100"/>
      <c r="O430" s="1505"/>
      <c r="P430" s="101"/>
      <c r="Q430" s="101"/>
      <c r="R430" s="101"/>
      <c r="S430" s="97"/>
      <c r="T430" s="97"/>
      <c r="U430" s="97"/>
      <c r="V430" s="97"/>
      <c r="W430" s="97"/>
      <c r="X430" s="97"/>
      <c r="Y430" s="101"/>
      <c r="Z430" s="101"/>
      <c r="AA430" s="101"/>
      <c r="AB430" s="101"/>
      <c r="AC430" s="101"/>
      <c r="AD430" s="101"/>
    </row>
    <row r="431" spans="3:30" ht="15">
      <c r="C431" s="1541"/>
      <c r="D431" s="1541"/>
      <c r="E431" s="1541"/>
      <c r="F431" s="1541"/>
      <c r="G431" s="1541"/>
      <c r="H431" s="1541"/>
      <c r="I431" s="1504"/>
      <c r="J431" s="1504"/>
      <c r="K431" s="100"/>
      <c r="L431" s="100"/>
      <c r="M431" s="100"/>
      <c r="N431" s="100"/>
      <c r="O431" s="1505"/>
      <c r="P431" s="101"/>
      <c r="Q431" s="101"/>
      <c r="R431" s="101"/>
      <c r="S431" s="97"/>
      <c r="T431" s="97"/>
      <c r="U431" s="97"/>
      <c r="V431" s="97"/>
      <c r="W431" s="97"/>
      <c r="X431" s="97"/>
      <c r="Y431" s="101"/>
      <c r="Z431" s="101"/>
      <c r="AA431" s="101"/>
      <c r="AB431" s="101"/>
      <c r="AC431" s="101"/>
      <c r="AD431" s="101"/>
    </row>
    <row r="432" spans="3:30" ht="15">
      <c r="C432" s="1541"/>
      <c r="D432" s="1541"/>
      <c r="E432" s="1541"/>
      <c r="F432" s="1541"/>
      <c r="G432" s="1541"/>
      <c r="H432" s="1541"/>
      <c r="I432" s="1504"/>
      <c r="J432" s="1504"/>
      <c r="K432" s="100"/>
      <c r="L432" s="100"/>
      <c r="M432" s="100"/>
      <c r="N432" s="100"/>
      <c r="O432" s="1505"/>
      <c r="P432" s="101"/>
      <c r="Q432" s="101"/>
      <c r="R432" s="101"/>
      <c r="S432" s="97"/>
      <c r="T432" s="97"/>
      <c r="U432" s="97"/>
      <c r="V432" s="97"/>
      <c r="W432" s="97"/>
      <c r="X432" s="97"/>
      <c r="Y432" s="101"/>
      <c r="Z432" s="101"/>
      <c r="AA432" s="101"/>
      <c r="AB432" s="101"/>
      <c r="AC432" s="101"/>
      <c r="AD432" s="101"/>
    </row>
    <row r="433" spans="3:30" ht="15">
      <c r="C433" s="1541"/>
      <c r="D433" s="1541"/>
      <c r="E433" s="1541"/>
      <c r="F433" s="1541"/>
      <c r="G433" s="1541"/>
      <c r="H433" s="1541"/>
      <c r="I433" s="1504"/>
      <c r="J433" s="1504"/>
      <c r="K433" s="100"/>
      <c r="L433" s="100"/>
      <c r="M433" s="100"/>
      <c r="N433" s="100"/>
      <c r="O433" s="1505"/>
      <c r="P433" s="101"/>
      <c r="Q433" s="101"/>
      <c r="R433" s="101"/>
      <c r="S433" s="97"/>
      <c r="T433" s="97"/>
      <c r="U433" s="97"/>
      <c r="V433" s="97"/>
      <c r="W433" s="97"/>
      <c r="X433" s="97"/>
      <c r="Y433" s="101"/>
      <c r="Z433" s="101"/>
      <c r="AA433" s="101"/>
      <c r="AB433" s="101"/>
      <c r="AC433" s="101"/>
      <c r="AD433" s="101"/>
    </row>
    <row r="434" spans="3:30" ht="15">
      <c r="C434" s="1541"/>
      <c r="D434" s="1541"/>
      <c r="E434" s="1541"/>
      <c r="F434" s="1541"/>
      <c r="G434" s="1541"/>
      <c r="H434" s="1541"/>
      <c r="I434" s="1504"/>
      <c r="J434" s="1504"/>
      <c r="K434" s="100"/>
      <c r="L434" s="100"/>
      <c r="M434" s="100"/>
      <c r="N434" s="100"/>
      <c r="O434" s="1505"/>
      <c r="P434" s="101"/>
      <c r="Q434" s="101"/>
      <c r="R434" s="101"/>
      <c r="S434" s="97"/>
      <c r="T434" s="97"/>
      <c r="U434" s="97"/>
      <c r="V434" s="97"/>
      <c r="W434" s="97"/>
      <c r="X434" s="97"/>
      <c r="Y434" s="101"/>
      <c r="Z434" s="101"/>
      <c r="AA434" s="101"/>
      <c r="AB434" s="101"/>
      <c r="AC434" s="101"/>
      <c r="AD434" s="101"/>
    </row>
    <row r="435" spans="3:30" ht="15">
      <c r="C435" s="1541"/>
      <c r="D435" s="1541"/>
      <c r="E435" s="1541"/>
      <c r="F435" s="1541"/>
      <c r="G435" s="1541"/>
      <c r="H435" s="1541"/>
      <c r="I435" s="1504"/>
      <c r="J435" s="1504"/>
      <c r="K435" s="100"/>
      <c r="L435" s="100"/>
      <c r="M435" s="100"/>
      <c r="N435" s="100"/>
      <c r="O435" s="1505"/>
      <c r="P435" s="101"/>
      <c r="Q435" s="101"/>
      <c r="R435" s="101"/>
      <c r="S435" s="97"/>
      <c r="T435" s="97"/>
      <c r="U435" s="97"/>
      <c r="V435" s="97"/>
      <c r="W435" s="97"/>
      <c r="X435" s="97"/>
      <c r="Y435" s="101"/>
      <c r="Z435" s="101"/>
      <c r="AA435" s="101"/>
      <c r="AB435" s="101"/>
      <c r="AC435" s="101"/>
      <c r="AD435" s="101"/>
    </row>
    <row r="436" spans="3:30" ht="15">
      <c r="C436" s="1541"/>
      <c r="D436" s="1541"/>
      <c r="E436" s="1541"/>
      <c r="F436" s="1541"/>
      <c r="G436" s="1541"/>
      <c r="H436" s="1541"/>
      <c r="I436" s="1504"/>
      <c r="J436" s="1504"/>
      <c r="K436" s="100"/>
      <c r="L436" s="100"/>
      <c r="M436" s="100"/>
      <c r="N436" s="100"/>
      <c r="O436" s="1505"/>
      <c r="P436" s="101"/>
      <c r="Q436" s="101"/>
      <c r="R436" s="101"/>
      <c r="S436" s="97"/>
      <c r="T436" s="97"/>
      <c r="U436" s="97"/>
      <c r="V436" s="97"/>
      <c r="W436" s="97"/>
      <c r="X436" s="97"/>
      <c r="Y436" s="101"/>
      <c r="Z436" s="101"/>
      <c r="AA436" s="101"/>
      <c r="AB436" s="101"/>
      <c r="AC436" s="101"/>
      <c r="AD436" s="101"/>
    </row>
    <row r="437" spans="3:30" ht="15">
      <c r="C437" s="1541"/>
      <c r="D437" s="1541"/>
      <c r="E437" s="1541"/>
      <c r="F437" s="1541"/>
      <c r="G437" s="1541"/>
      <c r="H437" s="1541"/>
      <c r="I437" s="1504"/>
      <c r="J437" s="1504"/>
      <c r="K437" s="100"/>
      <c r="L437" s="100"/>
      <c r="M437" s="100"/>
      <c r="N437" s="100"/>
      <c r="O437" s="1505"/>
      <c r="P437" s="101"/>
      <c r="Q437" s="101"/>
      <c r="R437" s="101"/>
      <c r="S437" s="97"/>
      <c r="T437" s="97"/>
      <c r="U437" s="97"/>
      <c r="V437" s="97"/>
      <c r="W437" s="97"/>
      <c r="X437" s="97"/>
      <c r="Y437" s="101"/>
      <c r="Z437" s="101"/>
      <c r="AA437" s="101"/>
      <c r="AB437" s="101"/>
      <c r="AC437" s="101"/>
      <c r="AD437" s="101"/>
    </row>
    <row r="438" spans="3:30" ht="15">
      <c r="C438" s="1541"/>
      <c r="D438" s="1541"/>
      <c r="E438" s="1541"/>
      <c r="F438" s="1541"/>
      <c r="G438" s="1541"/>
      <c r="H438" s="1541"/>
      <c r="I438" s="1504"/>
      <c r="J438" s="1504"/>
      <c r="K438" s="100"/>
      <c r="L438" s="100"/>
      <c r="M438" s="100"/>
      <c r="N438" s="100"/>
      <c r="O438" s="1505"/>
      <c r="P438" s="101"/>
      <c r="Q438" s="101"/>
      <c r="R438" s="101"/>
      <c r="S438" s="97"/>
      <c r="T438" s="97"/>
      <c r="U438" s="97"/>
      <c r="V438" s="97"/>
      <c r="W438" s="97"/>
      <c r="X438" s="97"/>
      <c r="Y438" s="101"/>
      <c r="Z438" s="101"/>
      <c r="AA438" s="101"/>
      <c r="AB438" s="101"/>
      <c r="AC438" s="101"/>
      <c r="AD438" s="101"/>
    </row>
    <row r="439" spans="3:30" ht="15">
      <c r="C439" s="1541"/>
      <c r="D439" s="1541"/>
      <c r="E439" s="1541"/>
      <c r="F439" s="1541"/>
      <c r="G439" s="1541"/>
      <c r="H439" s="1541"/>
      <c r="I439" s="1504"/>
      <c r="J439" s="1504"/>
      <c r="K439" s="100"/>
      <c r="L439" s="100"/>
      <c r="M439" s="100"/>
      <c r="N439" s="100"/>
      <c r="O439" s="1505"/>
      <c r="P439" s="101"/>
      <c r="Q439" s="101"/>
      <c r="R439" s="101"/>
      <c r="S439" s="97"/>
      <c r="T439" s="97"/>
      <c r="U439" s="97"/>
      <c r="V439" s="97"/>
      <c r="W439" s="97"/>
      <c r="X439" s="97"/>
      <c r="Y439" s="101"/>
      <c r="Z439" s="101"/>
      <c r="AA439" s="101"/>
      <c r="AB439" s="101"/>
      <c r="AC439" s="101"/>
      <c r="AD439" s="101"/>
    </row>
    <row r="440" spans="3:30" ht="15">
      <c r="C440" s="1541"/>
      <c r="D440" s="1541"/>
      <c r="E440" s="1541"/>
      <c r="F440" s="1541"/>
      <c r="G440" s="1541"/>
      <c r="H440" s="1541"/>
      <c r="I440" s="1504"/>
      <c r="J440" s="1504"/>
      <c r="K440" s="100"/>
      <c r="L440" s="100"/>
      <c r="M440" s="100"/>
      <c r="N440" s="100"/>
      <c r="O440" s="1505"/>
      <c r="P440" s="101"/>
      <c r="Q440" s="101"/>
      <c r="R440" s="101"/>
      <c r="S440" s="97"/>
      <c r="T440" s="97"/>
      <c r="U440" s="97"/>
      <c r="V440" s="97"/>
      <c r="W440" s="97"/>
      <c r="X440" s="97"/>
      <c r="Y440" s="101"/>
      <c r="Z440" s="101"/>
      <c r="AA440" s="101"/>
      <c r="AB440" s="101"/>
      <c r="AC440" s="101"/>
      <c r="AD440" s="101"/>
    </row>
    <row r="441" spans="3:30" ht="15">
      <c r="C441" s="1541"/>
      <c r="D441" s="1541"/>
      <c r="E441" s="1541"/>
      <c r="F441" s="1541"/>
      <c r="G441" s="1541"/>
      <c r="H441" s="1541"/>
      <c r="I441" s="1504"/>
      <c r="J441" s="1504"/>
      <c r="K441" s="100"/>
      <c r="L441" s="100"/>
      <c r="M441" s="100"/>
      <c r="N441" s="100"/>
      <c r="O441" s="1505"/>
      <c r="P441" s="101"/>
      <c r="Q441" s="101"/>
      <c r="R441" s="101"/>
      <c r="S441" s="97"/>
      <c r="T441" s="97"/>
      <c r="U441" s="97"/>
      <c r="V441" s="97"/>
      <c r="W441" s="97"/>
      <c r="X441" s="97"/>
      <c r="Y441" s="101"/>
      <c r="Z441" s="101"/>
      <c r="AA441" s="101"/>
      <c r="AB441" s="101"/>
      <c r="AC441" s="101"/>
      <c r="AD441" s="101"/>
    </row>
    <row r="442" spans="3:30" ht="15">
      <c r="C442" s="1541"/>
      <c r="D442" s="1541"/>
      <c r="E442" s="1541"/>
      <c r="F442" s="1541"/>
      <c r="G442" s="1541"/>
      <c r="H442" s="1541"/>
      <c r="I442" s="1504"/>
      <c r="J442" s="1504"/>
      <c r="K442" s="100"/>
      <c r="L442" s="100"/>
      <c r="M442" s="100"/>
      <c r="N442" s="100"/>
      <c r="O442" s="1505"/>
      <c r="P442" s="101"/>
      <c r="Q442" s="101"/>
      <c r="R442" s="101"/>
      <c r="S442" s="97"/>
      <c r="T442" s="97"/>
      <c r="U442" s="97"/>
      <c r="V442" s="97"/>
      <c r="W442" s="97"/>
      <c r="X442" s="97"/>
      <c r="Y442" s="101"/>
      <c r="Z442" s="101"/>
      <c r="AA442" s="101"/>
      <c r="AB442" s="101"/>
      <c r="AC442" s="101"/>
      <c r="AD442" s="101"/>
    </row>
    <row r="443" spans="3:30" ht="15">
      <c r="C443" s="1541"/>
      <c r="D443" s="1541"/>
      <c r="E443" s="1541"/>
      <c r="F443" s="1541"/>
      <c r="G443" s="1541"/>
      <c r="H443" s="1541"/>
      <c r="I443" s="1504"/>
      <c r="J443" s="1504"/>
      <c r="K443" s="100"/>
      <c r="L443" s="100"/>
      <c r="M443" s="100"/>
      <c r="N443" s="100"/>
      <c r="O443" s="1505"/>
      <c r="P443" s="101"/>
      <c r="Q443" s="101"/>
      <c r="R443" s="101"/>
      <c r="S443" s="97"/>
      <c r="T443" s="97"/>
      <c r="U443" s="97"/>
      <c r="V443" s="97"/>
      <c r="W443" s="97"/>
      <c r="X443" s="97"/>
      <c r="Y443" s="101"/>
      <c r="Z443" s="101"/>
      <c r="AA443" s="101"/>
      <c r="AB443" s="101"/>
      <c r="AC443" s="101"/>
      <c r="AD443" s="101"/>
    </row>
    <row r="444" spans="3:30" ht="15">
      <c r="C444" s="1541"/>
      <c r="D444" s="1541"/>
      <c r="E444" s="1541"/>
      <c r="F444" s="1541"/>
      <c r="G444" s="1541"/>
      <c r="H444" s="1541"/>
      <c r="I444" s="1504"/>
      <c r="J444" s="1504"/>
      <c r="K444" s="100"/>
      <c r="L444" s="100"/>
      <c r="M444" s="100"/>
      <c r="N444" s="100"/>
      <c r="O444" s="1505"/>
      <c r="P444" s="101"/>
      <c r="Q444" s="101"/>
      <c r="R444" s="101"/>
      <c r="S444" s="97"/>
      <c r="T444" s="97"/>
      <c r="U444" s="97"/>
      <c r="V444" s="97"/>
      <c r="W444" s="97"/>
      <c r="X444" s="97"/>
      <c r="Y444" s="101"/>
      <c r="Z444" s="101"/>
      <c r="AA444" s="101"/>
      <c r="AB444" s="101"/>
      <c r="AC444" s="101"/>
      <c r="AD444" s="101"/>
    </row>
    <row r="445" spans="3:30" ht="15">
      <c r="C445" s="1541"/>
      <c r="D445" s="1541"/>
      <c r="E445" s="1541"/>
      <c r="F445" s="1541"/>
      <c r="G445" s="1541"/>
      <c r="H445" s="1541"/>
      <c r="I445" s="1504"/>
      <c r="J445" s="1504"/>
      <c r="K445" s="100"/>
      <c r="L445" s="100"/>
      <c r="M445" s="100"/>
      <c r="N445" s="100"/>
      <c r="O445" s="1505"/>
      <c r="P445" s="101"/>
      <c r="Q445" s="101"/>
      <c r="R445" s="101"/>
      <c r="S445" s="97"/>
      <c r="T445" s="97"/>
      <c r="U445" s="97"/>
      <c r="V445" s="97"/>
      <c r="W445" s="97"/>
      <c r="X445" s="97"/>
      <c r="Y445" s="101"/>
      <c r="Z445" s="101"/>
      <c r="AA445" s="101"/>
      <c r="AB445" s="101"/>
      <c r="AC445" s="101"/>
      <c r="AD445" s="101"/>
    </row>
    <row r="446" spans="3:30" ht="15">
      <c r="C446" s="1541"/>
      <c r="D446" s="1541"/>
      <c r="E446" s="1541"/>
      <c r="F446" s="1541"/>
      <c r="G446" s="1541"/>
      <c r="H446" s="1541"/>
      <c r="I446" s="1504"/>
      <c r="J446" s="1504"/>
      <c r="K446" s="100"/>
      <c r="L446" s="100"/>
      <c r="M446" s="100"/>
      <c r="N446" s="100"/>
      <c r="O446" s="1505"/>
      <c r="P446" s="101"/>
      <c r="Q446" s="101"/>
      <c r="R446" s="101"/>
      <c r="S446" s="97"/>
      <c r="T446" s="97"/>
      <c r="U446" s="97"/>
      <c r="V446" s="97"/>
      <c r="W446" s="97"/>
      <c r="X446" s="97"/>
      <c r="Y446" s="101"/>
      <c r="Z446" s="101"/>
      <c r="AA446" s="101"/>
      <c r="AB446" s="101"/>
      <c r="AC446" s="101"/>
      <c r="AD446" s="101"/>
    </row>
    <row r="447" spans="3:30" ht="15">
      <c r="C447" s="1541"/>
      <c r="D447" s="1541"/>
      <c r="E447" s="1541"/>
      <c r="F447" s="1541"/>
      <c r="G447" s="1541"/>
      <c r="H447" s="1541"/>
      <c r="I447" s="1504"/>
      <c r="J447" s="1504"/>
      <c r="K447" s="100"/>
      <c r="L447" s="100"/>
      <c r="M447" s="100"/>
      <c r="N447" s="100"/>
      <c r="O447" s="1505"/>
      <c r="P447" s="101"/>
      <c r="Q447" s="101"/>
      <c r="R447" s="101"/>
      <c r="S447" s="97"/>
      <c r="T447" s="97"/>
      <c r="U447" s="97"/>
      <c r="V447" s="97"/>
      <c r="W447" s="97"/>
      <c r="X447" s="97"/>
      <c r="Y447" s="101"/>
      <c r="Z447" s="101"/>
      <c r="AA447" s="101"/>
      <c r="AB447" s="101"/>
      <c r="AC447" s="101"/>
      <c r="AD447" s="101"/>
    </row>
    <row r="448" spans="3:30" ht="15">
      <c r="C448" s="1541"/>
      <c r="D448" s="1541"/>
      <c r="E448" s="1541"/>
      <c r="F448" s="1541"/>
      <c r="G448" s="1541"/>
      <c r="H448" s="1541"/>
      <c r="I448" s="1504"/>
      <c r="J448" s="1504"/>
      <c r="K448" s="100"/>
      <c r="L448" s="100"/>
      <c r="M448" s="100"/>
      <c r="N448" s="100"/>
      <c r="O448" s="1505"/>
      <c r="P448" s="101"/>
      <c r="Q448" s="101"/>
      <c r="R448" s="101"/>
      <c r="S448" s="97"/>
      <c r="T448" s="97"/>
      <c r="U448" s="97"/>
      <c r="V448" s="97"/>
      <c r="W448" s="97"/>
      <c r="X448" s="97"/>
      <c r="Y448" s="101"/>
      <c r="Z448" s="101"/>
      <c r="AA448" s="101"/>
      <c r="AB448" s="101"/>
      <c r="AC448" s="101"/>
      <c r="AD448" s="101"/>
    </row>
    <row r="449" spans="3:30" ht="15">
      <c r="C449" s="1541"/>
      <c r="D449" s="1541"/>
      <c r="E449" s="1541"/>
      <c r="F449" s="1541"/>
      <c r="G449" s="1541"/>
      <c r="H449" s="1541"/>
      <c r="I449" s="1504"/>
      <c r="J449" s="1504"/>
      <c r="K449" s="100"/>
      <c r="L449" s="100"/>
      <c r="M449" s="100"/>
      <c r="N449" s="100"/>
      <c r="O449" s="1505"/>
      <c r="P449" s="101"/>
      <c r="Q449" s="101"/>
      <c r="R449" s="101"/>
      <c r="S449" s="97"/>
      <c r="T449" s="97"/>
      <c r="U449" s="97"/>
      <c r="V449" s="97"/>
      <c r="W449" s="97"/>
      <c r="X449" s="97"/>
      <c r="Y449" s="101"/>
      <c r="Z449" s="101"/>
      <c r="AA449" s="101"/>
      <c r="AB449" s="101"/>
      <c r="AC449" s="101"/>
      <c r="AD449" s="101"/>
    </row>
    <row r="450" spans="3:30" ht="15">
      <c r="C450" s="1541"/>
      <c r="D450" s="1541"/>
      <c r="E450" s="1541"/>
      <c r="F450" s="1541"/>
      <c r="G450" s="1541"/>
      <c r="H450" s="1541"/>
      <c r="I450" s="1504"/>
      <c r="J450" s="1504"/>
      <c r="K450" s="100"/>
      <c r="L450" s="100"/>
      <c r="M450" s="100"/>
      <c r="N450" s="100"/>
      <c r="O450" s="1505"/>
      <c r="P450" s="101"/>
      <c r="Q450" s="101"/>
      <c r="R450" s="101"/>
      <c r="S450" s="97"/>
      <c r="T450" s="97"/>
      <c r="U450" s="97"/>
      <c r="V450" s="97"/>
      <c r="W450" s="97"/>
      <c r="X450" s="97"/>
      <c r="Y450" s="101"/>
      <c r="Z450" s="101"/>
      <c r="AA450" s="101"/>
      <c r="AB450" s="101"/>
      <c r="AC450" s="101"/>
      <c r="AD450" s="101"/>
    </row>
    <row r="451" spans="3:30" ht="15">
      <c r="C451" s="1541"/>
      <c r="D451" s="1541"/>
      <c r="E451" s="1541"/>
      <c r="F451" s="1541"/>
      <c r="G451" s="1541"/>
      <c r="H451" s="1541"/>
      <c r="I451" s="1504"/>
      <c r="J451" s="1504"/>
      <c r="K451" s="100"/>
      <c r="L451" s="100"/>
      <c r="M451" s="100"/>
      <c r="N451" s="100"/>
      <c r="O451" s="1505"/>
      <c r="P451" s="101"/>
      <c r="Q451" s="101"/>
      <c r="R451" s="101"/>
      <c r="S451" s="97"/>
      <c r="T451" s="97"/>
      <c r="U451" s="97"/>
      <c r="V451" s="97"/>
      <c r="W451" s="97"/>
      <c r="X451" s="97"/>
      <c r="Y451" s="101"/>
      <c r="Z451" s="101"/>
      <c r="AA451" s="101"/>
      <c r="AB451" s="101"/>
      <c r="AC451" s="101"/>
      <c r="AD451" s="101"/>
    </row>
    <row r="452" spans="3:30" ht="15">
      <c r="C452" s="1541"/>
      <c r="D452" s="1541"/>
      <c r="E452" s="1541"/>
      <c r="F452" s="1541"/>
      <c r="G452" s="1541"/>
      <c r="H452" s="1541"/>
      <c r="I452" s="1504"/>
      <c r="J452" s="1504"/>
      <c r="K452" s="100"/>
      <c r="L452" s="100"/>
      <c r="M452" s="100"/>
      <c r="N452" s="100"/>
      <c r="O452" s="1505"/>
      <c r="P452" s="101"/>
      <c r="Q452" s="101"/>
      <c r="R452" s="101"/>
      <c r="S452" s="97"/>
      <c r="T452" s="97"/>
      <c r="U452" s="97"/>
      <c r="V452" s="97"/>
      <c r="W452" s="97"/>
      <c r="X452" s="97"/>
      <c r="Y452" s="101"/>
      <c r="Z452" s="101"/>
      <c r="AA452" s="101"/>
      <c r="AB452" s="101"/>
      <c r="AC452" s="101"/>
      <c r="AD452" s="101"/>
    </row>
    <row r="453" spans="3:30" ht="15">
      <c r="C453" s="1541"/>
      <c r="D453" s="1541"/>
      <c r="E453" s="1541"/>
      <c r="F453" s="1541"/>
      <c r="G453" s="1541"/>
      <c r="H453" s="1541"/>
      <c r="I453" s="1504"/>
      <c r="J453" s="1504"/>
      <c r="K453" s="100"/>
      <c r="L453" s="100"/>
      <c r="M453" s="100"/>
      <c r="N453" s="100"/>
      <c r="O453" s="1505"/>
      <c r="P453" s="101"/>
      <c r="Q453" s="101"/>
      <c r="R453" s="101"/>
      <c r="S453" s="97"/>
      <c r="T453" s="97"/>
      <c r="U453" s="97"/>
      <c r="V453" s="97"/>
      <c r="W453" s="97"/>
      <c r="X453" s="97"/>
      <c r="Y453" s="101"/>
      <c r="Z453" s="101"/>
      <c r="AA453" s="101"/>
      <c r="AB453" s="101"/>
      <c r="AC453" s="101"/>
      <c r="AD453" s="101"/>
    </row>
    <row r="454" spans="3:30" ht="15">
      <c r="C454" s="1541"/>
      <c r="D454" s="1541"/>
      <c r="E454" s="1541"/>
      <c r="F454" s="1541"/>
      <c r="G454" s="1541"/>
      <c r="H454" s="1541"/>
      <c r="I454" s="1504"/>
      <c r="J454" s="1504"/>
      <c r="K454" s="100"/>
      <c r="L454" s="100"/>
      <c r="M454" s="100"/>
      <c r="N454" s="100"/>
      <c r="O454" s="1505"/>
      <c r="P454" s="101"/>
      <c r="Q454" s="101"/>
      <c r="R454" s="101"/>
      <c r="S454" s="97"/>
      <c r="T454" s="97"/>
      <c r="U454" s="97"/>
      <c r="V454" s="97"/>
      <c r="W454" s="97"/>
      <c r="X454" s="97"/>
      <c r="Y454" s="101"/>
      <c r="Z454" s="101"/>
      <c r="AA454" s="101"/>
      <c r="AB454" s="101"/>
      <c r="AC454" s="101"/>
      <c r="AD454" s="101"/>
    </row>
    <row r="455" spans="3:30" ht="15">
      <c r="C455" s="1541"/>
      <c r="D455" s="1541"/>
      <c r="E455" s="1541"/>
      <c r="F455" s="1541"/>
      <c r="G455" s="1541"/>
      <c r="H455" s="1541"/>
      <c r="I455" s="1504"/>
      <c r="J455" s="1504"/>
      <c r="K455" s="100"/>
      <c r="L455" s="100"/>
      <c r="M455" s="100"/>
      <c r="N455" s="100"/>
      <c r="O455" s="1505"/>
      <c r="P455" s="101"/>
      <c r="Q455" s="101"/>
      <c r="R455" s="101"/>
      <c r="S455" s="97"/>
      <c r="T455" s="97"/>
      <c r="U455" s="97"/>
      <c r="V455" s="97"/>
      <c r="W455" s="97"/>
      <c r="X455" s="97"/>
      <c r="Y455" s="101"/>
      <c r="Z455" s="101"/>
      <c r="AA455" s="101"/>
      <c r="AB455" s="101"/>
      <c r="AC455" s="101"/>
      <c r="AD455" s="101"/>
    </row>
    <row r="456" spans="3:30" ht="15">
      <c r="C456" s="1541"/>
      <c r="D456" s="1541"/>
      <c r="E456" s="1541"/>
      <c r="F456" s="1541"/>
      <c r="G456" s="1541"/>
      <c r="H456" s="1541"/>
      <c r="I456" s="1504"/>
      <c r="J456" s="1504"/>
      <c r="K456" s="100"/>
      <c r="L456" s="100"/>
      <c r="M456" s="100"/>
      <c r="N456" s="100"/>
      <c r="O456" s="1505"/>
      <c r="P456" s="101"/>
      <c r="Q456" s="101"/>
      <c r="R456" s="101"/>
      <c r="S456" s="97"/>
      <c r="T456" s="97"/>
      <c r="U456" s="97"/>
      <c r="V456" s="97"/>
      <c r="W456" s="97"/>
      <c r="X456" s="97"/>
      <c r="Y456" s="101"/>
      <c r="Z456" s="101"/>
      <c r="AA456" s="101"/>
      <c r="AB456" s="101"/>
      <c r="AC456" s="101"/>
      <c r="AD456" s="101"/>
    </row>
    <row r="457" spans="3:30" ht="15">
      <c r="C457" s="1541"/>
      <c r="D457" s="1541"/>
      <c r="E457" s="1541"/>
      <c r="F457" s="1541"/>
      <c r="G457" s="1541"/>
      <c r="H457" s="1541"/>
      <c r="I457" s="1504"/>
      <c r="J457" s="1504"/>
      <c r="K457" s="100"/>
      <c r="L457" s="100"/>
      <c r="M457" s="100"/>
      <c r="N457" s="100"/>
      <c r="O457" s="1505"/>
      <c r="P457" s="101"/>
      <c r="Q457" s="101"/>
      <c r="R457" s="101"/>
      <c r="S457" s="97"/>
      <c r="T457" s="97"/>
      <c r="U457" s="97"/>
      <c r="V457" s="97"/>
      <c r="W457" s="97"/>
      <c r="X457" s="97"/>
      <c r="Y457" s="101"/>
      <c r="Z457" s="101"/>
      <c r="AA457" s="101"/>
      <c r="AB457" s="101"/>
      <c r="AC457" s="101"/>
      <c r="AD457" s="101"/>
    </row>
    <row r="458" spans="3:30" ht="15">
      <c r="C458" s="1541"/>
      <c r="D458" s="1541"/>
      <c r="E458" s="1541"/>
      <c r="F458" s="1541"/>
      <c r="G458" s="1541"/>
      <c r="H458" s="1541"/>
      <c r="I458" s="1504"/>
      <c r="J458" s="1504"/>
      <c r="K458" s="100"/>
      <c r="L458" s="100"/>
      <c r="M458" s="100"/>
      <c r="N458" s="100"/>
      <c r="O458" s="1505"/>
      <c r="P458" s="101"/>
      <c r="Q458" s="101"/>
      <c r="R458" s="101"/>
      <c r="S458" s="97"/>
      <c r="T458" s="97"/>
      <c r="U458" s="97"/>
      <c r="V458" s="97"/>
      <c r="W458" s="97"/>
      <c r="X458" s="97"/>
      <c r="Y458" s="101"/>
      <c r="Z458" s="101"/>
      <c r="AA458" s="101"/>
      <c r="AB458" s="101"/>
      <c r="AC458" s="101"/>
      <c r="AD458" s="101"/>
    </row>
    <row r="459" spans="3:30" ht="15">
      <c r="C459" s="1541"/>
      <c r="D459" s="1541"/>
      <c r="E459" s="1541"/>
      <c r="F459" s="1541"/>
      <c r="G459" s="1541"/>
      <c r="H459" s="1541"/>
      <c r="I459" s="1504"/>
      <c r="J459" s="1504"/>
      <c r="K459" s="100"/>
      <c r="L459" s="100"/>
      <c r="M459" s="100"/>
      <c r="N459" s="100"/>
      <c r="O459" s="1505"/>
      <c r="P459" s="101"/>
      <c r="Q459" s="101"/>
      <c r="R459" s="101"/>
      <c r="S459" s="97"/>
      <c r="T459" s="97"/>
      <c r="U459" s="97"/>
      <c r="V459" s="97"/>
      <c r="W459" s="97"/>
      <c r="X459" s="97"/>
      <c r="Y459" s="101"/>
      <c r="Z459" s="101"/>
      <c r="AA459" s="101"/>
      <c r="AB459" s="101"/>
      <c r="AC459" s="101"/>
      <c r="AD459" s="101"/>
    </row>
    <row r="460" spans="3:30" ht="15">
      <c r="C460" s="1541"/>
      <c r="D460" s="1541"/>
      <c r="E460" s="1541"/>
      <c r="F460" s="1541"/>
      <c r="G460" s="1541"/>
      <c r="H460" s="1541"/>
      <c r="I460" s="1504"/>
      <c r="J460" s="1504"/>
      <c r="K460" s="100"/>
      <c r="L460" s="100"/>
      <c r="M460" s="100"/>
      <c r="N460" s="100"/>
      <c r="O460" s="1505"/>
      <c r="P460" s="101"/>
      <c r="Q460" s="101"/>
      <c r="R460" s="101"/>
      <c r="S460" s="97"/>
      <c r="T460" s="97"/>
      <c r="U460" s="97"/>
      <c r="V460" s="97"/>
      <c r="W460" s="97"/>
      <c r="X460" s="97"/>
      <c r="Y460" s="101"/>
      <c r="Z460" s="101"/>
      <c r="AA460" s="101"/>
      <c r="AB460" s="101"/>
      <c r="AC460" s="101"/>
      <c r="AD460" s="101"/>
    </row>
    <row r="461" spans="3:30" ht="15">
      <c r="C461" s="1541"/>
      <c r="D461" s="1541"/>
      <c r="E461" s="1541"/>
      <c r="F461" s="1541"/>
      <c r="G461" s="1541"/>
      <c r="H461" s="1541"/>
      <c r="I461" s="1504"/>
      <c r="J461" s="1504"/>
      <c r="K461" s="100"/>
      <c r="L461" s="100"/>
      <c r="M461" s="100"/>
      <c r="N461" s="100"/>
      <c r="O461" s="1505"/>
      <c r="P461" s="101"/>
      <c r="Q461" s="101"/>
      <c r="R461" s="101"/>
      <c r="S461" s="97"/>
      <c r="T461" s="97"/>
      <c r="U461" s="97"/>
      <c r="V461" s="97"/>
      <c r="W461" s="97"/>
      <c r="X461" s="97"/>
      <c r="Y461" s="101"/>
      <c r="Z461" s="101"/>
      <c r="AA461" s="101"/>
      <c r="AB461" s="101"/>
      <c r="AC461" s="101"/>
      <c r="AD461" s="101"/>
    </row>
    <row r="462" spans="3:30" ht="15">
      <c r="C462" s="1541"/>
      <c r="D462" s="1541"/>
      <c r="E462" s="1541"/>
      <c r="F462" s="1541"/>
      <c r="G462" s="1541"/>
      <c r="H462" s="1541"/>
      <c r="I462" s="1504"/>
      <c r="J462" s="1504"/>
      <c r="K462" s="100"/>
      <c r="L462" s="100"/>
      <c r="M462" s="100"/>
      <c r="N462" s="100"/>
      <c r="O462" s="1505"/>
      <c r="P462" s="101"/>
      <c r="Q462" s="101"/>
      <c r="R462" s="101"/>
      <c r="S462" s="97"/>
      <c r="T462" s="97"/>
      <c r="U462" s="97"/>
      <c r="V462" s="97"/>
      <c r="W462" s="97"/>
      <c r="X462" s="97"/>
      <c r="Y462" s="101"/>
      <c r="Z462" s="101"/>
      <c r="AA462" s="101"/>
      <c r="AB462" s="101"/>
      <c r="AC462" s="101"/>
      <c r="AD462" s="101"/>
    </row>
    <row r="463" spans="3:30" ht="15">
      <c r="C463" s="1541"/>
      <c r="D463" s="1541"/>
      <c r="E463" s="1541"/>
      <c r="F463" s="1541"/>
      <c r="G463" s="1541"/>
      <c r="H463" s="1541"/>
      <c r="I463" s="1504"/>
      <c r="J463" s="1504"/>
      <c r="K463" s="100"/>
      <c r="L463" s="100"/>
      <c r="M463" s="100"/>
      <c r="N463" s="100"/>
      <c r="O463" s="1505"/>
      <c r="P463" s="101"/>
      <c r="Q463" s="101"/>
      <c r="R463" s="101"/>
      <c r="S463" s="97"/>
      <c r="T463" s="97"/>
      <c r="U463" s="97"/>
      <c r="V463" s="97"/>
      <c r="W463" s="97"/>
      <c r="X463" s="97"/>
      <c r="Y463" s="101"/>
      <c r="Z463" s="101"/>
      <c r="AA463" s="101"/>
      <c r="AB463" s="101"/>
      <c r="AC463" s="101"/>
      <c r="AD463" s="101"/>
    </row>
    <row r="464" spans="3:30" ht="15">
      <c r="C464" s="1541"/>
      <c r="D464" s="1541"/>
      <c r="E464" s="1541"/>
      <c r="F464" s="1541"/>
      <c r="G464" s="1541"/>
      <c r="H464" s="1541"/>
      <c r="I464" s="1504"/>
      <c r="J464" s="1504"/>
      <c r="K464" s="100"/>
      <c r="L464" s="100"/>
      <c r="M464" s="100"/>
      <c r="N464" s="100"/>
      <c r="O464" s="1505"/>
      <c r="P464" s="101"/>
      <c r="Q464" s="101"/>
      <c r="R464" s="101"/>
      <c r="S464" s="97"/>
      <c r="T464" s="97"/>
      <c r="U464" s="97"/>
      <c r="V464" s="97"/>
      <c r="W464" s="97"/>
      <c r="X464" s="97"/>
      <c r="Y464" s="101"/>
      <c r="Z464" s="101"/>
      <c r="AA464" s="101"/>
      <c r="AB464" s="101"/>
      <c r="AC464" s="101"/>
      <c r="AD464" s="101"/>
    </row>
    <row r="465" spans="3:30" ht="15">
      <c r="C465" s="1541"/>
      <c r="D465" s="1541"/>
      <c r="E465" s="1541"/>
      <c r="F465" s="1541"/>
      <c r="G465" s="1541"/>
      <c r="H465" s="1541"/>
      <c r="I465" s="1504"/>
      <c r="J465" s="1504"/>
      <c r="K465" s="100"/>
      <c r="L465" s="100"/>
      <c r="M465" s="100"/>
      <c r="N465" s="100"/>
      <c r="O465" s="1505"/>
      <c r="P465" s="101"/>
      <c r="Q465" s="101"/>
      <c r="R465" s="101"/>
      <c r="S465" s="97"/>
      <c r="T465" s="97"/>
      <c r="U465" s="97"/>
      <c r="V465" s="97"/>
      <c r="W465" s="97"/>
      <c r="X465" s="97"/>
      <c r="Y465" s="101"/>
      <c r="Z465" s="101"/>
      <c r="AA465" s="101"/>
      <c r="AB465" s="101"/>
      <c r="AC465" s="101"/>
      <c r="AD465" s="101"/>
    </row>
    <row r="466" spans="3:30" ht="15">
      <c r="C466" s="1541"/>
      <c r="D466" s="1541"/>
      <c r="E466" s="1541"/>
      <c r="F466" s="1541"/>
      <c r="G466" s="1541"/>
      <c r="H466" s="1541"/>
      <c r="I466" s="1504"/>
      <c r="J466" s="1504"/>
      <c r="K466" s="100"/>
      <c r="L466" s="100"/>
      <c r="M466" s="100"/>
      <c r="N466" s="100"/>
      <c r="O466" s="1505"/>
      <c r="P466" s="101"/>
      <c r="Q466" s="101"/>
      <c r="R466" s="101"/>
      <c r="S466" s="97"/>
      <c r="T466" s="97"/>
      <c r="U466" s="97"/>
      <c r="V466" s="97"/>
      <c r="W466" s="97"/>
      <c r="X466" s="97"/>
      <c r="Y466" s="101"/>
      <c r="Z466" s="101"/>
      <c r="AA466" s="101"/>
      <c r="AB466" s="101"/>
      <c r="AC466" s="101"/>
      <c r="AD466" s="101"/>
    </row>
    <row r="467" spans="3:30" ht="15">
      <c r="C467" s="1541"/>
      <c r="D467" s="1541"/>
      <c r="E467" s="1541"/>
      <c r="F467" s="1541"/>
      <c r="G467" s="1541"/>
      <c r="H467" s="1541"/>
      <c r="I467" s="1504"/>
      <c r="J467" s="1504"/>
      <c r="K467" s="100"/>
      <c r="L467" s="100"/>
      <c r="M467" s="100"/>
      <c r="N467" s="100"/>
      <c r="O467" s="1505"/>
      <c r="P467" s="101"/>
      <c r="Q467" s="101"/>
      <c r="R467" s="101"/>
      <c r="S467" s="97"/>
      <c r="T467" s="97"/>
      <c r="U467" s="97"/>
      <c r="V467" s="97"/>
      <c r="W467" s="97"/>
      <c r="X467" s="97"/>
      <c r="Y467" s="101"/>
      <c r="Z467" s="101"/>
      <c r="AA467" s="101"/>
      <c r="AB467" s="101"/>
      <c r="AC467" s="101"/>
      <c r="AD467" s="101"/>
    </row>
    <row r="468" spans="3:30" ht="15">
      <c r="C468" s="1541"/>
      <c r="D468" s="1541"/>
      <c r="E468" s="1541"/>
      <c r="F468" s="1541"/>
      <c r="G468" s="1541"/>
      <c r="H468" s="1541"/>
      <c r="I468" s="1504"/>
      <c r="J468" s="1504"/>
      <c r="K468" s="100"/>
      <c r="L468" s="100"/>
      <c r="M468" s="100"/>
      <c r="N468" s="100"/>
      <c r="O468" s="1505"/>
      <c r="P468" s="101"/>
      <c r="Q468" s="101"/>
      <c r="R468" s="101"/>
      <c r="S468" s="97"/>
      <c r="T468" s="97"/>
      <c r="U468" s="97"/>
      <c r="V468" s="97"/>
      <c r="W468" s="97"/>
      <c r="X468" s="97"/>
      <c r="Y468" s="101"/>
      <c r="Z468" s="101"/>
      <c r="AA468" s="101"/>
      <c r="AB468" s="101"/>
      <c r="AC468" s="101"/>
      <c r="AD468" s="101"/>
    </row>
    <row r="469" spans="3:30" ht="15">
      <c r="C469" s="1541"/>
      <c r="D469" s="1541"/>
      <c r="E469" s="1541"/>
      <c r="F469" s="1541"/>
      <c r="G469" s="1541"/>
      <c r="H469" s="1541"/>
      <c r="I469" s="1504"/>
      <c r="J469" s="1504"/>
      <c r="K469" s="100"/>
      <c r="L469" s="100"/>
      <c r="M469" s="100"/>
      <c r="N469" s="100"/>
      <c r="O469" s="1505"/>
      <c r="P469" s="101"/>
      <c r="Q469" s="101"/>
      <c r="R469" s="101"/>
      <c r="S469" s="97"/>
      <c r="T469" s="97"/>
      <c r="U469" s="97"/>
      <c r="V469" s="97"/>
      <c r="W469" s="97"/>
      <c r="X469" s="97"/>
      <c r="Y469" s="101"/>
      <c r="Z469" s="101"/>
      <c r="AA469" s="101"/>
      <c r="AB469" s="101"/>
      <c r="AC469" s="101"/>
      <c r="AD469" s="101"/>
    </row>
    <row r="470" spans="3:30" ht="15">
      <c r="C470" s="1541"/>
      <c r="D470" s="1541"/>
      <c r="E470" s="1541"/>
      <c r="F470" s="1541"/>
      <c r="G470" s="1541"/>
      <c r="H470" s="1541"/>
      <c r="I470" s="1504"/>
      <c r="J470" s="1504"/>
      <c r="K470" s="100"/>
      <c r="L470" s="100"/>
      <c r="M470" s="100"/>
      <c r="N470" s="100"/>
      <c r="O470" s="1505"/>
      <c r="P470" s="101"/>
      <c r="Q470" s="101"/>
      <c r="R470" s="101"/>
      <c r="S470" s="97"/>
      <c r="T470" s="97"/>
      <c r="U470" s="97"/>
      <c r="V470" s="97"/>
      <c r="W470" s="97"/>
      <c r="X470" s="97"/>
      <c r="Y470" s="101"/>
      <c r="Z470" s="101"/>
      <c r="AA470" s="101"/>
      <c r="AB470" s="101"/>
      <c r="AC470" s="101"/>
      <c r="AD470" s="101"/>
    </row>
    <row r="471" spans="3:30" ht="15">
      <c r="C471" s="1541"/>
      <c r="D471" s="1541"/>
      <c r="E471" s="1541"/>
      <c r="F471" s="1541"/>
      <c r="G471" s="1541"/>
      <c r="H471" s="1541"/>
      <c r="I471" s="1504"/>
      <c r="J471" s="1504"/>
      <c r="K471" s="100"/>
      <c r="L471" s="100"/>
      <c r="M471" s="100"/>
      <c r="N471" s="100"/>
      <c r="O471" s="1505"/>
      <c r="P471" s="101"/>
      <c r="Q471" s="101"/>
      <c r="R471" s="101"/>
      <c r="S471" s="97"/>
      <c r="T471" s="97"/>
      <c r="U471" s="97"/>
      <c r="V471" s="97"/>
      <c r="W471" s="97"/>
      <c r="X471" s="97"/>
      <c r="Y471" s="101"/>
      <c r="Z471" s="101"/>
      <c r="AA471" s="101"/>
      <c r="AB471" s="101"/>
      <c r="AC471" s="101"/>
      <c r="AD471" s="101"/>
    </row>
    <row r="472" spans="3:30" ht="15">
      <c r="C472" s="1541"/>
      <c r="D472" s="1541"/>
      <c r="E472" s="1541"/>
      <c r="F472" s="1541"/>
      <c r="G472" s="1541"/>
      <c r="H472" s="1541"/>
      <c r="I472" s="1504"/>
      <c r="J472" s="1504"/>
      <c r="K472" s="100"/>
      <c r="L472" s="100"/>
      <c r="M472" s="100"/>
      <c r="N472" s="100"/>
      <c r="O472" s="1505"/>
      <c r="P472" s="101"/>
      <c r="Q472" s="101"/>
      <c r="R472" s="101"/>
      <c r="S472" s="97"/>
      <c r="T472" s="97"/>
      <c r="U472" s="97"/>
      <c r="V472" s="97"/>
      <c r="W472" s="97"/>
      <c r="X472" s="97"/>
      <c r="Y472" s="101"/>
      <c r="Z472" s="101"/>
      <c r="AA472" s="101"/>
      <c r="AB472" s="101"/>
      <c r="AC472" s="101"/>
      <c r="AD472" s="101"/>
    </row>
    <row r="473" spans="3:30" ht="15">
      <c r="C473" s="1541"/>
      <c r="D473" s="1541"/>
      <c r="E473" s="1541"/>
      <c r="F473" s="1541"/>
      <c r="G473" s="1541"/>
      <c r="H473" s="1541"/>
      <c r="I473" s="1504"/>
      <c r="J473" s="1504"/>
      <c r="K473" s="100"/>
      <c r="L473" s="100"/>
      <c r="M473" s="100"/>
      <c r="N473" s="100"/>
      <c r="O473" s="1505"/>
      <c r="P473" s="101"/>
      <c r="Q473" s="101"/>
      <c r="R473" s="101"/>
      <c r="S473" s="97"/>
      <c r="T473" s="97"/>
      <c r="U473" s="97"/>
      <c r="V473" s="97"/>
      <c r="W473" s="97"/>
      <c r="X473" s="97"/>
      <c r="Y473" s="101"/>
      <c r="Z473" s="101"/>
      <c r="AA473" s="101"/>
      <c r="AB473" s="101"/>
      <c r="AC473" s="101"/>
      <c r="AD473" s="101"/>
    </row>
    <row r="474" spans="3:30" ht="15">
      <c r="C474" s="1541"/>
      <c r="D474" s="1541"/>
      <c r="E474" s="1541"/>
      <c r="F474" s="1541"/>
      <c r="G474" s="1541"/>
      <c r="H474" s="1541"/>
      <c r="I474" s="1504"/>
      <c r="J474" s="1504"/>
      <c r="K474" s="100"/>
      <c r="L474" s="100"/>
      <c r="M474" s="100"/>
      <c r="N474" s="100"/>
      <c r="O474" s="1505"/>
      <c r="P474" s="101"/>
      <c r="Q474" s="101"/>
      <c r="R474" s="101"/>
      <c r="S474" s="97"/>
      <c r="T474" s="97"/>
      <c r="U474" s="97"/>
      <c r="V474" s="97"/>
      <c r="W474" s="97"/>
      <c r="X474" s="97"/>
      <c r="Y474" s="101"/>
      <c r="Z474" s="101"/>
      <c r="AA474" s="101"/>
      <c r="AB474" s="101"/>
      <c r="AC474" s="101"/>
      <c r="AD474" s="101"/>
    </row>
    <row r="475" spans="3:30" ht="15">
      <c r="C475" s="1541"/>
      <c r="D475" s="1541"/>
      <c r="E475" s="1541"/>
      <c r="F475" s="1541"/>
      <c r="G475" s="1541"/>
      <c r="H475" s="1541"/>
      <c r="I475" s="1504"/>
      <c r="J475" s="1504"/>
      <c r="K475" s="100"/>
      <c r="L475" s="100"/>
      <c r="M475" s="100"/>
      <c r="N475" s="100"/>
      <c r="O475" s="1505"/>
      <c r="P475" s="101"/>
      <c r="Q475" s="101"/>
      <c r="R475" s="101"/>
      <c r="S475" s="97"/>
      <c r="T475" s="97"/>
      <c r="U475" s="97"/>
      <c r="V475" s="97"/>
      <c r="W475" s="97"/>
      <c r="X475" s="97"/>
      <c r="Y475" s="101"/>
      <c r="Z475" s="101"/>
      <c r="AA475" s="101"/>
      <c r="AB475" s="101"/>
      <c r="AC475" s="101"/>
      <c r="AD475" s="101"/>
    </row>
    <row r="476" spans="3:30" ht="15">
      <c r="C476" s="1541"/>
      <c r="D476" s="1541"/>
      <c r="E476" s="1541"/>
      <c r="F476" s="1541"/>
      <c r="G476" s="1541"/>
      <c r="H476" s="1541"/>
      <c r="I476" s="1504"/>
      <c r="J476" s="1504"/>
      <c r="K476" s="100"/>
      <c r="L476" s="100"/>
      <c r="M476" s="100"/>
      <c r="N476" s="100"/>
      <c r="O476" s="1505"/>
      <c r="P476" s="101"/>
      <c r="Q476" s="101"/>
      <c r="R476" s="101"/>
      <c r="S476" s="97"/>
      <c r="T476" s="97"/>
      <c r="U476" s="97"/>
      <c r="V476" s="97"/>
      <c r="W476" s="97"/>
      <c r="X476" s="97"/>
      <c r="Y476" s="101"/>
      <c r="Z476" s="101"/>
      <c r="AA476" s="101"/>
      <c r="AB476" s="101"/>
      <c r="AC476" s="101"/>
      <c r="AD476" s="101"/>
    </row>
    <row r="477" spans="3:30" ht="15">
      <c r="C477" s="1541"/>
      <c r="D477" s="1541"/>
      <c r="E477" s="1541"/>
      <c r="F477" s="1541"/>
      <c r="G477" s="1541"/>
      <c r="H477" s="1541"/>
      <c r="I477" s="1504"/>
      <c r="J477" s="1504"/>
      <c r="K477" s="100"/>
      <c r="L477" s="100"/>
      <c r="M477" s="100"/>
      <c r="N477" s="100"/>
      <c r="O477" s="1505"/>
      <c r="P477" s="101"/>
      <c r="Q477" s="101"/>
      <c r="R477" s="101"/>
      <c r="S477" s="97"/>
      <c r="T477" s="97"/>
      <c r="U477" s="97"/>
      <c r="V477" s="97"/>
      <c r="W477" s="97"/>
      <c r="X477" s="97"/>
      <c r="Y477" s="101"/>
      <c r="Z477" s="101"/>
      <c r="AA477" s="101"/>
      <c r="AB477" s="101"/>
      <c r="AC477" s="101"/>
      <c r="AD477" s="101"/>
    </row>
    <row r="478" spans="3:30" ht="15">
      <c r="C478" s="1541"/>
      <c r="D478" s="1541"/>
      <c r="E478" s="1541"/>
      <c r="F478" s="1541"/>
      <c r="G478" s="1541"/>
      <c r="H478" s="1541"/>
      <c r="I478" s="1504"/>
      <c r="J478" s="1504"/>
      <c r="K478" s="100"/>
      <c r="L478" s="100"/>
      <c r="M478" s="100"/>
      <c r="N478" s="100"/>
      <c r="O478" s="1505"/>
      <c r="P478" s="101"/>
      <c r="Q478" s="101"/>
      <c r="R478" s="101"/>
      <c r="S478" s="97"/>
      <c r="T478" s="97"/>
      <c r="U478" s="97"/>
      <c r="V478" s="97"/>
      <c r="W478" s="97"/>
      <c r="X478" s="97"/>
      <c r="Y478" s="101"/>
      <c r="Z478" s="101"/>
      <c r="AA478" s="101"/>
      <c r="AB478" s="101"/>
      <c r="AC478" s="101"/>
      <c r="AD478" s="101"/>
    </row>
    <row r="479" spans="3:30" ht="15">
      <c r="C479" s="1541"/>
      <c r="D479" s="1541"/>
      <c r="E479" s="1541"/>
      <c r="F479" s="1541"/>
      <c r="G479" s="1541"/>
      <c r="H479" s="1541"/>
      <c r="I479" s="1504"/>
      <c r="J479" s="1504"/>
      <c r="K479" s="100"/>
      <c r="L479" s="100"/>
      <c r="M479" s="100"/>
      <c r="N479" s="100"/>
      <c r="O479" s="1505"/>
      <c r="P479" s="101"/>
      <c r="Q479" s="101"/>
      <c r="R479" s="101"/>
      <c r="S479" s="97"/>
      <c r="T479" s="97"/>
      <c r="U479" s="97"/>
      <c r="V479" s="97"/>
      <c r="W479" s="97"/>
      <c r="X479" s="97"/>
      <c r="Y479" s="101"/>
      <c r="Z479" s="101"/>
      <c r="AA479" s="101"/>
      <c r="AB479" s="101"/>
      <c r="AC479" s="101"/>
      <c r="AD479" s="101"/>
    </row>
    <row r="480" spans="3:30" ht="15">
      <c r="C480" s="1541"/>
      <c r="D480" s="1541"/>
      <c r="E480" s="1541"/>
      <c r="F480" s="1541"/>
      <c r="G480" s="1541"/>
      <c r="H480" s="1541"/>
      <c r="I480" s="1504"/>
      <c r="J480" s="1504"/>
      <c r="K480" s="100"/>
      <c r="L480" s="100"/>
      <c r="M480" s="100"/>
      <c r="N480" s="100"/>
      <c r="O480" s="1505"/>
      <c r="P480" s="101"/>
      <c r="Q480" s="101"/>
      <c r="R480" s="101"/>
      <c r="S480" s="97"/>
      <c r="T480" s="97"/>
      <c r="U480" s="97"/>
      <c r="V480" s="97"/>
      <c r="W480" s="97"/>
      <c r="X480" s="97"/>
      <c r="Y480" s="101"/>
      <c r="Z480" s="101"/>
      <c r="AA480" s="101"/>
      <c r="AB480" s="101"/>
      <c r="AC480" s="101"/>
      <c r="AD480" s="101"/>
    </row>
    <row r="481" spans="3:30" ht="15">
      <c r="C481" s="1541"/>
      <c r="D481" s="1541"/>
      <c r="E481" s="1541"/>
      <c r="F481" s="1541"/>
      <c r="G481" s="1541"/>
      <c r="H481" s="1541"/>
      <c r="I481" s="1504"/>
      <c r="J481" s="1504"/>
      <c r="K481" s="100"/>
      <c r="L481" s="100"/>
      <c r="M481" s="100"/>
      <c r="N481" s="100"/>
      <c r="O481" s="1505"/>
      <c r="P481" s="101"/>
      <c r="Q481" s="101"/>
      <c r="R481" s="101"/>
      <c r="S481" s="97"/>
      <c r="T481" s="97"/>
      <c r="U481" s="97"/>
      <c r="V481" s="97"/>
      <c r="W481" s="97"/>
      <c r="X481" s="97"/>
      <c r="Y481" s="101"/>
      <c r="Z481" s="101"/>
      <c r="AA481" s="101"/>
      <c r="AB481" s="101"/>
      <c r="AC481" s="101"/>
      <c r="AD481" s="101"/>
    </row>
    <row r="482" spans="3:30" ht="15">
      <c r="C482" s="1541"/>
      <c r="D482" s="1541"/>
      <c r="E482" s="1541"/>
      <c r="F482" s="1541"/>
      <c r="G482" s="1541"/>
      <c r="H482" s="1541"/>
      <c r="I482" s="1504"/>
      <c r="J482" s="1504"/>
      <c r="K482" s="100"/>
      <c r="L482" s="100"/>
      <c r="M482" s="100"/>
      <c r="N482" s="100"/>
      <c r="O482" s="1505"/>
      <c r="P482" s="101"/>
      <c r="Q482" s="101"/>
      <c r="R482" s="101"/>
      <c r="S482" s="97"/>
      <c r="T482" s="97"/>
      <c r="U482" s="97"/>
      <c r="V482" s="97"/>
      <c r="W482" s="97"/>
      <c r="X482" s="97"/>
      <c r="Y482" s="101"/>
      <c r="Z482" s="101"/>
      <c r="AA482" s="101"/>
      <c r="AB482" s="101"/>
      <c r="AC482" s="101"/>
      <c r="AD482" s="101"/>
    </row>
    <row r="483" spans="3:30" ht="15">
      <c r="C483" s="1541"/>
      <c r="D483" s="1541"/>
      <c r="E483" s="1541"/>
      <c r="F483" s="1541"/>
      <c r="G483" s="1541"/>
      <c r="H483" s="1541"/>
      <c r="I483" s="1504"/>
      <c r="J483" s="1504"/>
      <c r="K483" s="100"/>
      <c r="L483" s="100"/>
      <c r="M483" s="100"/>
      <c r="N483" s="100"/>
      <c r="O483" s="1505"/>
      <c r="P483" s="101"/>
      <c r="Q483" s="101"/>
      <c r="R483" s="101"/>
      <c r="S483" s="97"/>
      <c r="T483" s="97"/>
      <c r="U483" s="97"/>
      <c r="V483" s="97"/>
      <c r="W483" s="97"/>
      <c r="X483" s="97"/>
      <c r="Y483" s="101"/>
      <c r="Z483" s="101"/>
      <c r="AA483" s="101"/>
      <c r="AB483" s="101"/>
      <c r="AC483" s="101"/>
      <c r="AD483" s="101"/>
    </row>
    <row r="484" spans="3:30" ht="15">
      <c r="C484" s="1541"/>
      <c r="D484" s="1541"/>
      <c r="E484" s="1541"/>
      <c r="F484" s="1541"/>
      <c r="G484" s="1541"/>
      <c r="H484" s="1541"/>
      <c r="I484" s="1504"/>
      <c r="J484" s="1504"/>
      <c r="K484" s="100"/>
      <c r="L484" s="100"/>
      <c r="M484" s="100"/>
      <c r="N484" s="100"/>
      <c r="O484" s="1505"/>
      <c r="P484" s="101"/>
      <c r="Q484" s="101"/>
      <c r="R484" s="101"/>
      <c r="S484" s="97"/>
      <c r="T484" s="97"/>
      <c r="U484" s="97"/>
      <c r="V484" s="97"/>
      <c r="W484" s="97"/>
      <c r="X484" s="97"/>
      <c r="Y484" s="101"/>
      <c r="Z484" s="101"/>
      <c r="AA484" s="101"/>
      <c r="AB484" s="101"/>
      <c r="AC484" s="101"/>
      <c r="AD484" s="101"/>
    </row>
    <row r="485" spans="3:30">
      <c r="I485" s="1504"/>
      <c r="J485" s="1504"/>
      <c r="K485" s="100"/>
      <c r="L485" s="100"/>
      <c r="M485" s="100"/>
      <c r="N485" s="100"/>
      <c r="O485" s="1505"/>
      <c r="P485" s="101"/>
      <c r="Q485" s="101"/>
      <c r="R485" s="101"/>
      <c r="S485" s="97"/>
      <c r="T485" s="97"/>
      <c r="U485" s="97"/>
      <c r="V485" s="97"/>
      <c r="W485" s="97"/>
      <c r="X485" s="97"/>
      <c r="Y485" s="101"/>
      <c r="Z485" s="101"/>
      <c r="AA485" s="101"/>
      <c r="AB485" s="101"/>
      <c r="AC485" s="101"/>
      <c r="AD485" s="101"/>
    </row>
    <row r="486" spans="3:30">
      <c r="I486" s="1504"/>
      <c r="J486" s="1504"/>
      <c r="K486" s="100"/>
      <c r="L486" s="100"/>
      <c r="M486" s="100"/>
      <c r="N486" s="100"/>
      <c r="O486" s="1505"/>
      <c r="P486" s="101"/>
      <c r="Q486" s="101"/>
      <c r="R486" s="101"/>
      <c r="S486" s="97"/>
      <c r="T486" s="97"/>
      <c r="U486" s="97"/>
      <c r="V486" s="97"/>
      <c r="W486" s="97"/>
      <c r="X486" s="97"/>
      <c r="Y486" s="101"/>
      <c r="Z486" s="101"/>
      <c r="AA486" s="101"/>
      <c r="AB486" s="101"/>
      <c r="AC486" s="101"/>
      <c r="AD486" s="101"/>
    </row>
    <row r="487" spans="3:30">
      <c r="I487" s="1504"/>
      <c r="J487" s="1504"/>
      <c r="K487" s="100"/>
      <c r="L487" s="100"/>
      <c r="M487" s="100"/>
      <c r="N487" s="100"/>
      <c r="O487" s="1505"/>
      <c r="P487" s="101"/>
      <c r="Q487" s="101"/>
      <c r="R487" s="101"/>
      <c r="S487" s="97"/>
      <c r="T487" s="97"/>
      <c r="U487" s="97"/>
      <c r="V487" s="97"/>
      <c r="W487" s="97"/>
      <c r="X487" s="97"/>
      <c r="Y487" s="101"/>
      <c r="Z487" s="101"/>
      <c r="AA487" s="101"/>
      <c r="AB487" s="101"/>
      <c r="AC487" s="101"/>
      <c r="AD487" s="101"/>
    </row>
    <row r="488" spans="3:30">
      <c r="I488" s="1504"/>
      <c r="J488" s="1504"/>
      <c r="K488" s="100"/>
      <c r="L488" s="100"/>
      <c r="M488" s="100"/>
      <c r="N488" s="100"/>
      <c r="O488" s="1505"/>
      <c r="P488" s="101"/>
      <c r="Q488" s="101"/>
      <c r="R488" s="101"/>
      <c r="S488" s="97"/>
      <c r="T488" s="97"/>
      <c r="U488" s="97"/>
      <c r="V488" s="97"/>
      <c r="W488" s="97"/>
      <c r="X488" s="97"/>
      <c r="Y488" s="101"/>
      <c r="Z488" s="101"/>
      <c r="AA488" s="101"/>
      <c r="AB488" s="101"/>
      <c r="AC488" s="101"/>
      <c r="AD488" s="101"/>
    </row>
    <row r="489" spans="3:30">
      <c r="I489" s="1504"/>
      <c r="J489" s="1504"/>
      <c r="K489" s="100"/>
      <c r="L489" s="100"/>
      <c r="M489" s="100"/>
      <c r="N489" s="100"/>
      <c r="O489" s="1505"/>
      <c r="P489" s="101"/>
      <c r="Q489" s="101"/>
      <c r="R489" s="101"/>
      <c r="S489" s="97"/>
      <c r="T489" s="97"/>
      <c r="U489" s="97"/>
      <c r="V489" s="97"/>
      <c r="W489" s="97"/>
      <c r="X489" s="97"/>
      <c r="Y489" s="101"/>
      <c r="Z489" s="101"/>
      <c r="AA489" s="101"/>
      <c r="AB489" s="101"/>
      <c r="AC489" s="101"/>
      <c r="AD489" s="101"/>
    </row>
    <row r="490" spans="3:30">
      <c r="I490" s="1504"/>
      <c r="J490" s="1504"/>
      <c r="K490" s="100"/>
      <c r="L490" s="100"/>
      <c r="M490" s="100"/>
      <c r="N490" s="100"/>
      <c r="O490" s="1505"/>
      <c r="P490" s="101"/>
      <c r="Q490" s="101"/>
      <c r="R490" s="101"/>
      <c r="S490" s="97"/>
      <c r="T490" s="97"/>
      <c r="U490" s="97"/>
      <c r="V490" s="97"/>
      <c r="W490" s="97"/>
      <c r="X490" s="97"/>
      <c r="Y490" s="101"/>
      <c r="Z490" s="101"/>
      <c r="AA490" s="101"/>
      <c r="AB490" s="101"/>
      <c r="AC490" s="101"/>
      <c r="AD490" s="101"/>
    </row>
    <row r="491" spans="3:30">
      <c r="I491" s="1504"/>
      <c r="J491" s="1504"/>
      <c r="K491" s="100"/>
      <c r="L491" s="100"/>
      <c r="M491" s="100"/>
      <c r="N491" s="100"/>
      <c r="O491" s="1505"/>
      <c r="P491" s="101"/>
      <c r="Q491" s="101"/>
      <c r="R491" s="101"/>
      <c r="S491" s="97"/>
      <c r="T491" s="97"/>
      <c r="U491" s="97"/>
      <c r="V491" s="97"/>
      <c r="W491" s="97"/>
      <c r="X491" s="97"/>
      <c r="Y491" s="101"/>
      <c r="Z491" s="101"/>
      <c r="AA491" s="101"/>
      <c r="AB491" s="101"/>
      <c r="AC491" s="101"/>
      <c r="AD491" s="101"/>
    </row>
    <row r="492" spans="3:30">
      <c r="I492" s="1504"/>
      <c r="J492" s="1504"/>
      <c r="K492" s="100"/>
      <c r="L492" s="100"/>
      <c r="M492" s="100"/>
      <c r="N492" s="100"/>
      <c r="O492" s="1505"/>
      <c r="P492" s="101"/>
      <c r="Q492" s="101"/>
      <c r="R492" s="101"/>
      <c r="S492" s="97"/>
      <c r="T492" s="97"/>
      <c r="U492" s="97"/>
      <c r="V492" s="97"/>
      <c r="W492" s="97"/>
      <c r="X492" s="97"/>
      <c r="Y492" s="101"/>
      <c r="Z492" s="101"/>
      <c r="AA492" s="101"/>
      <c r="AB492" s="101"/>
      <c r="AC492" s="101"/>
      <c r="AD492" s="101"/>
    </row>
    <row r="493" spans="3:30">
      <c r="I493" s="1504"/>
      <c r="J493" s="1504"/>
      <c r="K493" s="100"/>
      <c r="L493" s="100"/>
      <c r="M493" s="100"/>
      <c r="N493" s="100"/>
      <c r="O493" s="1505"/>
      <c r="P493" s="101"/>
      <c r="Q493" s="101"/>
      <c r="R493" s="101"/>
      <c r="S493" s="97"/>
      <c r="T493" s="97"/>
      <c r="U493" s="97"/>
      <c r="V493" s="97"/>
      <c r="W493" s="97"/>
      <c r="X493" s="97"/>
      <c r="Y493" s="101"/>
      <c r="Z493" s="101"/>
      <c r="AA493" s="101"/>
      <c r="AB493" s="101"/>
      <c r="AC493" s="101"/>
      <c r="AD493" s="101"/>
    </row>
    <row r="494" spans="3:30">
      <c r="I494" s="1504"/>
      <c r="J494" s="1504"/>
      <c r="K494" s="100"/>
      <c r="L494" s="100"/>
      <c r="M494" s="100"/>
      <c r="N494" s="100"/>
      <c r="O494" s="1505"/>
      <c r="P494" s="101"/>
      <c r="Q494" s="101"/>
      <c r="R494" s="101"/>
      <c r="S494" s="97"/>
      <c r="T494" s="97"/>
      <c r="U494" s="97"/>
      <c r="V494" s="97"/>
      <c r="W494" s="97"/>
      <c r="X494" s="97"/>
      <c r="Y494" s="101"/>
      <c r="Z494" s="101"/>
      <c r="AA494" s="101"/>
      <c r="AB494" s="101"/>
      <c r="AC494" s="101"/>
      <c r="AD494" s="101"/>
    </row>
    <row r="495" spans="3:30">
      <c r="I495" s="1504"/>
      <c r="J495" s="1504"/>
      <c r="K495" s="100"/>
      <c r="L495" s="100"/>
      <c r="M495" s="100"/>
      <c r="N495" s="100"/>
      <c r="O495" s="1505"/>
      <c r="P495" s="101"/>
      <c r="Q495" s="101"/>
      <c r="R495" s="101"/>
      <c r="S495" s="97"/>
      <c r="T495" s="97"/>
      <c r="U495" s="97"/>
      <c r="V495" s="97"/>
      <c r="W495" s="97"/>
      <c r="X495" s="97"/>
      <c r="Y495" s="101"/>
      <c r="Z495" s="101"/>
      <c r="AA495" s="101"/>
      <c r="AB495" s="101"/>
      <c r="AC495" s="101"/>
      <c r="AD495" s="101"/>
    </row>
    <row r="496" spans="3:30">
      <c r="I496" s="1504"/>
      <c r="J496" s="1504"/>
      <c r="K496" s="100"/>
      <c r="L496" s="100"/>
      <c r="M496" s="100"/>
      <c r="N496" s="100"/>
      <c r="O496" s="1505"/>
      <c r="P496" s="101"/>
      <c r="Q496" s="101"/>
      <c r="R496" s="101"/>
      <c r="S496" s="97"/>
      <c r="T496" s="97"/>
      <c r="U496" s="97"/>
      <c r="V496" s="97"/>
      <c r="W496" s="97"/>
      <c r="X496" s="97"/>
      <c r="Y496" s="101"/>
      <c r="Z496" s="101"/>
      <c r="AA496" s="101"/>
      <c r="AB496" s="101"/>
      <c r="AC496" s="101"/>
      <c r="AD496" s="101"/>
    </row>
    <row r="497" spans="9:30">
      <c r="I497" s="1504"/>
      <c r="J497" s="1504"/>
      <c r="K497" s="100"/>
      <c r="L497" s="100"/>
      <c r="M497" s="100"/>
      <c r="N497" s="100"/>
      <c r="O497" s="1505"/>
      <c r="P497" s="101"/>
      <c r="Q497" s="101"/>
      <c r="R497" s="101"/>
      <c r="S497" s="97"/>
      <c r="T497" s="97"/>
      <c r="U497" s="97"/>
      <c r="V497" s="97"/>
      <c r="W497" s="97"/>
      <c r="X497" s="97"/>
      <c r="Y497" s="101"/>
      <c r="Z497" s="101"/>
      <c r="AA497" s="101"/>
      <c r="AB497" s="101"/>
      <c r="AC497" s="101"/>
      <c r="AD497" s="101"/>
    </row>
    <row r="498" spans="9:30">
      <c r="I498" s="1504"/>
      <c r="J498" s="1504"/>
      <c r="K498" s="100"/>
      <c r="L498" s="100"/>
      <c r="M498" s="100"/>
      <c r="N498" s="100"/>
      <c r="O498" s="1505"/>
      <c r="P498" s="101"/>
      <c r="Q498" s="101"/>
      <c r="R498" s="101"/>
      <c r="S498" s="97"/>
      <c r="T498" s="97"/>
      <c r="U498" s="97"/>
      <c r="V498" s="97"/>
      <c r="W498" s="97"/>
      <c r="X498" s="97"/>
      <c r="Y498" s="101"/>
      <c r="Z498" s="101"/>
      <c r="AA498" s="101"/>
      <c r="AB498" s="101"/>
      <c r="AC498" s="101"/>
      <c r="AD498" s="101"/>
    </row>
    <row r="499" spans="9:30">
      <c r="I499" s="1504"/>
      <c r="J499" s="1504"/>
      <c r="K499" s="100"/>
      <c r="L499" s="100"/>
      <c r="M499" s="100"/>
      <c r="N499" s="100"/>
      <c r="O499" s="1505"/>
      <c r="P499" s="101"/>
      <c r="Q499" s="101"/>
      <c r="R499" s="101"/>
      <c r="S499" s="97"/>
      <c r="T499" s="97"/>
      <c r="U499" s="97"/>
      <c r="V499" s="97"/>
      <c r="W499" s="97"/>
      <c r="X499" s="97"/>
      <c r="Y499" s="101"/>
      <c r="Z499" s="101"/>
      <c r="AA499" s="101"/>
      <c r="AB499" s="101"/>
      <c r="AC499" s="101"/>
      <c r="AD499" s="101"/>
    </row>
    <row r="500" spans="9:30">
      <c r="I500" s="1504"/>
      <c r="J500" s="1504"/>
      <c r="K500" s="100"/>
      <c r="L500" s="100"/>
      <c r="M500" s="100"/>
      <c r="N500" s="100"/>
      <c r="O500" s="1505"/>
      <c r="P500" s="101"/>
      <c r="Q500" s="101"/>
      <c r="R500" s="101"/>
      <c r="S500" s="97"/>
      <c r="T500" s="97"/>
      <c r="U500" s="97"/>
      <c r="V500" s="97"/>
      <c r="W500" s="97"/>
      <c r="X500" s="97"/>
      <c r="Y500" s="101"/>
      <c r="Z500" s="101"/>
      <c r="AA500" s="101"/>
      <c r="AB500" s="101"/>
      <c r="AC500" s="101"/>
      <c r="AD500" s="101"/>
    </row>
    <row r="501" spans="9:30">
      <c r="I501" s="1504"/>
      <c r="J501" s="1504"/>
      <c r="K501" s="100"/>
      <c r="L501" s="100"/>
      <c r="M501" s="100"/>
      <c r="N501" s="100"/>
      <c r="O501" s="1505"/>
      <c r="P501" s="101"/>
      <c r="Q501" s="101"/>
      <c r="R501" s="101"/>
      <c r="S501" s="97"/>
      <c r="T501" s="97"/>
      <c r="U501" s="97"/>
      <c r="V501" s="97"/>
      <c r="W501" s="97"/>
      <c r="X501" s="97"/>
      <c r="Y501" s="101"/>
      <c r="Z501" s="101"/>
      <c r="AA501" s="101"/>
      <c r="AB501" s="101"/>
      <c r="AC501" s="101"/>
      <c r="AD501" s="101"/>
    </row>
    <row r="502" spans="9:30">
      <c r="I502" s="1504"/>
      <c r="J502" s="1504"/>
      <c r="K502" s="100"/>
      <c r="L502" s="100"/>
      <c r="M502" s="100"/>
      <c r="N502" s="100"/>
      <c r="O502" s="1505"/>
      <c r="P502" s="101"/>
      <c r="Q502" s="101"/>
      <c r="R502" s="101"/>
      <c r="S502" s="97"/>
      <c r="T502" s="97"/>
      <c r="U502" s="97"/>
      <c r="V502" s="97"/>
      <c r="W502" s="97"/>
      <c r="X502" s="97"/>
      <c r="Y502" s="101"/>
      <c r="Z502" s="101"/>
      <c r="AA502" s="101"/>
      <c r="AB502" s="101"/>
      <c r="AC502" s="101"/>
      <c r="AD502" s="101"/>
    </row>
    <row r="503" spans="9:30">
      <c r="I503" s="1504"/>
      <c r="J503" s="1504"/>
      <c r="K503" s="100"/>
      <c r="L503" s="100"/>
      <c r="M503" s="100"/>
      <c r="N503" s="100"/>
      <c r="O503" s="1505"/>
      <c r="P503" s="101"/>
      <c r="Q503" s="101"/>
      <c r="R503" s="101"/>
      <c r="S503" s="97"/>
      <c r="T503" s="97"/>
      <c r="U503" s="97"/>
      <c r="V503" s="97"/>
      <c r="W503" s="97"/>
      <c r="X503" s="97"/>
      <c r="Y503" s="101"/>
      <c r="Z503" s="101"/>
      <c r="AA503" s="101"/>
      <c r="AB503" s="101"/>
      <c r="AC503" s="101"/>
      <c r="AD503" s="101"/>
    </row>
    <row r="504" spans="9:30">
      <c r="I504" s="1504"/>
      <c r="J504" s="1504"/>
      <c r="K504" s="100"/>
      <c r="L504" s="100"/>
      <c r="M504" s="100"/>
      <c r="N504" s="100"/>
      <c r="O504" s="1505"/>
      <c r="P504" s="101"/>
      <c r="Q504" s="101"/>
      <c r="R504" s="101"/>
      <c r="S504" s="97"/>
      <c r="T504" s="97"/>
      <c r="U504" s="97"/>
      <c r="V504" s="97"/>
      <c r="W504" s="97"/>
      <c r="X504" s="97"/>
      <c r="Y504" s="101"/>
      <c r="Z504" s="101"/>
      <c r="AA504" s="101"/>
      <c r="AB504" s="101"/>
      <c r="AC504" s="101"/>
      <c r="AD504" s="101"/>
    </row>
    <row r="505" spans="9:30">
      <c r="I505" s="1504"/>
      <c r="J505" s="1504"/>
      <c r="K505" s="100"/>
      <c r="L505" s="100"/>
      <c r="M505" s="100"/>
      <c r="N505" s="100"/>
      <c r="O505" s="1505"/>
      <c r="P505" s="101"/>
      <c r="Q505" s="101"/>
      <c r="R505" s="101"/>
      <c r="S505" s="97"/>
      <c r="T505" s="97"/>
      <c r="U505" s="97"/>
      <c r="V505" s="97"/>
      <c r="W505" s="97"/>
      <c r="X505" s="97"/>
      <c r="Y505" s="101"/>
      <c r="Z505" s="101"/>
      <c r="AA505" s="101"/>
      <c r="AB505" s="101"/>
      <c r="AC505" s="101"/>
      <c r="AD505" s="101"/>
    </row>
    <row r="506" spans="9:30">
      <c r="I506" s="1504"/>
      <c r="J506" s="1504"/>
      <c r="K506" s="100"/>
      <c r="L506" s="100"/>
      <c r="M506" s="100"/>
      <c r="N506" s="100"/>
      <c r="O506" s="1505"/>
      <c r="P506" s="101"/>
      <c r="Q506" s="101"/>
      <c r="R506" s="101"/>
      <c r="S506" s="97"/>
      <c r="T506" s="97"/>
      <c r="U506" s="97"/>
      <c r="V506" s="97"/>
      <c r="W506" s="97"/>
      <c r="X506" s="97"/>
      <c r="Y506" s="101"/>
      <c r="Z506" s="101"/>
      <c r="AA506" s="101"/>
      <c r="AB506" s="101"/>
      <c r="AC506" s="101"/>
      <c r="AD506" s="101"/>
    </row>
    <row r="507" spans="9:30">
      <c r="I507" s="1504"/>
      <c r="J507" s="1504"/>
      <c r="K507" s="100"/>
      <c r="L507" s="100"/>
      <c r="M507" s="100"/>
      <c r="N507" s="100"/>
      <c r="O507" s="1505"/>
      <c r="P507" s="101"/>
      <c r="Q507" s="101"/>
      <c r="R507" s="101"/>
      <c r="S507" s="97"/>
      <c r="T507" s="97"/>
      <c r="U507" s="97"/>
      <c r="V507" s="97"/>
      <c r="W507" s="97"/>
      <c r="X507" s="97"/>
      <c r="Y507" s="101"/>
      <c r="Z507" s="101"/>
      <c r="AA507" s="101"/>
      <c r="AB507" s="101"/>
      <c r="AC507" s="101"/>
      <c r="AD507" s="101"/>
    </row>
    <row r="508" spans="9:30">
      <c r="I508" s="1504"/>
      <c r="J508" s="1504"/>
      <c r="K508" s="100"/>
      <c r="L508" s="100"/>
      <c r="M508" s="100"/>
      <c r="N508" s="100"/>
      <c r="O508" s="1505"/>
      <c r="P508" s="101"/>
      <c r="Q508" s="101"/>
      <c r="R508" s="101"/>
      <c r="S508" s="97"/>
      <c r="T508" s="97"/>
      <c r="U508" s="97"/>
      <c r="V508" s="97"/>
      <c r="W508" s="97"/>
      <c r="X508" s="97"/>
      <c r="Y508" s="101"/>
      <c r="Z508" s="101"/>
      <c r="AA508" s="101"/>
      <c r="AB508" s="101"/>
      <c r="AC508" s="101"/>
      <c r="AD508" s="101"/>
    </row>
    <row r="509" spans="9:30">
      <c r="I509" s="1504"/>
      <c r="J509" s="1504"/>
      <c r="K509" s="100"/>
      <c r="L509" s="100"/>
      <c r="M509" s="100"/>
      <c r="N509" s="100"/>
      <c r="O509" s="1505"/>
      <c r="P509" s="101"/>
      <c r="Q509" s="101"/>
      <c r="R509" s="101"/>
      <c r="S509" s="97"/>
      <c r="T509" s="97"/>
      <c r="U509" s="97"/>
      <c r="V509" s="97"/>
      <c r="W509" s="97"/>
      <c r="X509" s="97"/>
      <c r="Y509" s="101"/>
      <c r="Z509" s="101"/>
      <c r="AA509" s="101"/>
      <c r="AB509" s="101"/>
      <c r="AC509" s="101"/>
      <c r="AD509" s="101"/>
    </row>
    <row r="510" spans="9:30">
      <c r="I510" s="1504"/>
      <c r="J510" s="1504"/>
      <c r="K510" s="100"/>
      <c r="L510" s="100"/>
      <c r="M510" s="100"/>
      <c r="N510" s="100"/>
      <c r="O510" s="1505"/>
      <c r="P510" s="101"/>
      <c r="Q510" s="101"/>
      <c r="R510" s="101"/>
      <c r="S510" s="97"/>
      <c r="T510" s="97"/>
      <c r="U510" s="97"/>
      <c r="V510" s="97"/>
      <c r="W510" s="97"/>
      <c r="X510" s="97"/>
      <c r="Y510" s="101"/>
      <c r="Z510" s="101"/>
      <c r="AA510" s="101"/>
      <c r="AB510" s="101"/>
      <c r="AC510" s="101"/>
      <c r="AD510" s="101"/>
    </row>
    <row r="511" spans="9:30">
      <c r="I511" s="1504"/>
      <c r="J511" s="1504"/>
      <c r="K511" s="100"/>
      <c r="L511" s="100"/>
      <c r="M511" s="100"/>
      <c r="N511" s="100"/>
      <c r="O511" s="1505"/>
      <c r="P511" s="101"/>
      <c r="Q511" s="101"/>
      <c r="R511" s="101"/>
      <c r="S511" s="97"/>
      <c r="T511" s="97"/>
      <c r="U511" s="97"/>
      <c r="V511" s="97"/>
      <c r="W511" s="97"/>
      <c r="X511" s="97"/>
      <c r="Y511" s="101"/>
      <c r="Z511" s="101"/>
      <c r="AA511" s="101"/>
      <c r="AB511" s="101"/>
      <c r="AC511" s="101"/>
      <c r="AD511" s="101"/>
    </row>
    <row r="512" spans="9:30">
      <c r="I512" s="1504"/>
      <c r="J512" s="1504"/>
      <c r="K512" s="100"/>
      <c r="L512" s="100"/>
      <c r="M512" s="100"/>
      <c r="N512" s="100"/>
      <c r="O512" s="1505"/>
      <c r="P512" s="101"/>
      <c r="Q512" s="101"/>
      <c r="R512" s="101"/>
      <c r="S512" s="97"/>
      <c r="T512" s="97"/>
      <c r="U512" s="97"/>
      <c r="V512" s="97"/>
      <c r="W512" s="97"/>
      <c r="X512" s="97"/>
      <c r="Y512" s="101"/>
      <c r="Z512" s="101"/>
      <c r="AA512" s="101"/>
      <c r="AB512" s="101"/>
      <c r="AC512" s="101"/>
      <c r="AD512" s="101"/>
    </row>
    <row r="513" spans="9:30">
      <c r="I513" s="1504"/>
      <c r="J513" s="1504"/>
      <c r="K513" s="100"/>
      <c r="L513" s="100"/>
      <c r="M513" s="100"/>
      <c r="N513" s="100"/>
      <c r="O513" s="1505"/>
      <c r="P513" s="101"/>
      <c r="Q513" s="101"/>
      <c r="R513" s="101"/>
      <c r="S513" s="97"/>
      <c r="T513" s="97"/>
      <c r="U513" s="97"/>
      <c r="V513" s="97"/>
      <c r="W513" s="97"/>
      <c r="X513" s="97"/>
      <c r="Y513" s="101"/>
      <c r="Z513" s="101"/>
      <c r="AA513" s="101"/>
      <c r="AB513" s="101"/>
      <c r="AC513" s="101"/>
      <c r="AD513" s="101"/>
    </row>
    <row r="514" spans="9:30">
      <c r="I514" s="1504"/>
      <c r="J514" s="1504"/>
      <c r="K514" s="100"/>
      <c r="L514" s="100"/>
      <c r="M514" s="100"/>
      <c r="N514" s="100"/>
      <c r="O514" s="1505"/>
      <c r="P514" s="101"/>
      <c r="Q514" s="101"/>
      <c r="R514" s="101"/>
      <c r="S514" s="97"/>
      <c r="T514" s="97"/>
      <c r="U514" s="97"/>
      <c r="V514" s="97"/>
      <c r="W514" s="97"/>
      <c r="X514" s="97"/>
      <c r="Y514" s="101"/>
      <c r="Z514" s="101"/>
      <c r="AA514" s="101"/>
      <c r="AB514" s="101"/>
      <c r="AC514" s="101"/>
      <c r="AD514" s="101"/>
    </row>
    <row r="515" spans="9:30">
      <c r="I515" s="1504"/>
      <c r="J515" s="1504"/>
      <c r="K515" s="100"/>
      <c r="L515" s="100"/>
      <c r="M515" s="100"/>
      <c r="N515" s="100"/>
      <c r="O515" s="1505"/>
      <c r="P515" s="101"/>
      <c r="Q515" s="101"/>
      <c r="R515" s="101"/>
      <c r="S515" s="97"/>
      <c r="T515" s="97"/>
      <c r="U515" s="97"/>
      <c r="V515" s="97"/>
      <c r="W515" s="97"/>
      <c r="X515" s="97"/>
      <c r="Y515" s="101"/>
      <c r="Z515" s="101"/>
      <c r="AA515" s="101"/>
      <c r="AB515" s="101"/>
      <c r="AC515" s="101"/>
      <c r="AD515" s="101"/>
    </row>
    <row r="516" spans="9:30">
      <c r="I516" s="1504"/>
      <c r="J516" s="1504"/>
      <c r="K516" s="100"/>
      <c r="L516" s="100"/>
      <c r="M516" s="100"/>
      <c r="N516" s="100"/>
      <c r="O516" s="1505"/>
      <c r="P516" s="101"/>
      <c r="Q516" s="101"/>
      <c r="R516" s="101"/>
      <c r="S516" s="97"/>
      <c r="T516" s="97"/>
      <c r="U516" s="97"/>
      <c r="V516" s="97"/>
      <c r="W516" s="97"/>
      <c r="X516" s="97"/>
      <c r="Y516" s="101"/>
      <c r="Z516" s="101"/>
      <c r="AA516" s="101"/>
      <c r="AB516" s="101"/>
      <c r="AC516" s="101"/>
      <c r="AD516" s="101"/>
    </row>
    <row r="517" spans="9:30">
      <c r="I517" s="1504"/>
      <c r="J517" s="1504"/>
      <c r="K517" s="100"/>
      <c r="L517" s="100"/>
      <c r="M517" s="100"/>
      <c r="N517" s="100"/>
      <c r="O517" s="1505"/>
      <c r="P517" s="101"/>
      <c r="Q517" s="101"/>
      <c r="R517" s="101"/>
      <c r="S517" s="97"/>
      <c r="T517" s="97"/>
      <c r="U517" s="97"/>
      <c r="V517" s="97"/>
      <c r="W517" s="97"/>
      <c r="X517" s="97"/>
      <c r="Y517" s="101"/>
      <c r="Z517" s="101"/>
      <c r="AA517" s="101"/>
      <c r="AB517" s="101"/>
      <c r="AC517" s="101"/>
      <c r="AD517" s="101"/>
    </row>
    <row r="518" spans="9:30">
      <c r="I518" s="1504"/>
      <c r="J518" s="1504"/>
      <c r="K518" s="100"/>
      <c r="L518" s="100"/>
      <c r="M518" s="100"/>
      <c r="N518" s="100"/>
      <c r="O518" s="1505"/>
      <c r="P518" s="101"/>
      <c r="Q518" s="101"/>
      <c r="R518" s="101"/>
      <c r="S518" s="97"/>
      <c r="T518" s="97"/>
      <c r="U518" s="97"/>
      <c r="V518" s="97"/>
      <c r="W518" s="97"/>
      <c r="X518" s="97"/>
      <c r="Y518" s="101"/>
      <c r="Z518" s="101"/>
      <c r="AA518" s="101"/>
      <c r="AB518" s="101"/>
      <c r="AC518" s="101"/>
      <c r="AD518" s="101"/>
    </row>
    <row r="519" spans="9:30">
      <c r="I519" s="1504"/>
      <c r="J519" s="1504"/>
      <c r="K519" s="100"/>
      <c r="L519" s="100"/>
      <c r="M519" s="100"/>
      <c r="N519" s="100"/>
      <c r="O519" s="1505"/>
      <c r="P519" s="101"/>
      <c r="Q519" s="101"/>
      <c r="R519" s="101"/>
      <c r="S519" s="97"/>
      <c r="T519" s="97"/>
      <c r="U519" s="97"/>
      <c r="V519" s="97"/>
      <c r="W519" s="97"/>
      <c r="X519" s="97"/>
      <c r="Y519" s="101"/>
      <c r="Z519" s="101"/>
      <c r="AA519" s="101"/>
      <c r="AB519" s="101"/>
      <c r="AC519" s="101"/>
      <c r="AD519" s="101"/>
    </row>
    <row r="520" spans="9:30">
      <c r="I520" s="1504"/>
      <c r="J520" s="1504"/>
      <c r="K520" s="100"/>
      <c r="L520" s="100"/>
      <c r="M520" s="100"/>
      <c r="N520" s="100"/>
      <c r="O520" s="1505"/>
      <c r="P520" s="101"/>
      <c r="Q520" s="101"/>
      <c r="R520" s="101"/>
      <c r="S520" s="97"/>
      <c r="T520" s="97"/>
      <c r="U520" s="97"/>
      <c r="V520" s="97"/>
      <c r="W520" s="97"/>
      <c r="X520" s="97"/>
      <c r="Y520" s="101"/>
      <c r="Z520" s="101"/>
      <c r="AA520" s="101"/>
      <c r="AB520" s="101"/>
      <c r="AC520" s="101"/>
      <c r="AD520" s="101"/>
    </row>
    <row r="521" spans="9:30">
      <c r="I521" s="1504"/>
      <c r="J521" s="1504"/>
      <c r="K521" s="100"/>
      <c r="L521" s="100"/>
      <c r="M521" s="100"/>
      <c r="N521" s="100"/>
      <c r="O521" s="1505"/>
      <c r="P521" s="101"/>
      <c r="Q521" s="101"/>
      <c r="R521" s="101"/>
      <c r="S521" s="97"/>
      <c r="T521" s="97"/>
      <c r="U521" s="97"/>
      <c r="V521" s="97"/>
      <c r="W521" s="97"/>
      <c r="X521" s="97"/>
      <c r="Y521" s="101"/>
      <c r="Z521" s="101"/>
      <c r="AA521" s="101"/>
      <c r="AB521" s="101"/>
      <c r="AC521" s="101"/>
      <c r="AD521" s="101"/>
    </row>
    <row r="522" spans="9:30">
      <c r="I522" s="1504"/>
      <c r="J522" s="1504"/>
      <c r="K522" s="100"/>
      <c r="L522" s="100"/>
      <c r="M522" s="100"/>
      <c r="N522" s="100"/>
      <c r="O522" s="1505"/>
      <c r="P522" s="101"/>
      <c r="Q522" s="101"/>
      <c r="R522" s="101"/>
      <c r="S522" s="97"/>
      <c r="T522" s="97"/>
      <c r="U522" s="97"/>
      <c r="V522" s="97"/>
      <c r="W522" s="97"/>
      <c r="X522" s="97"/>
      <c r="Y522" s="101"/>
      <c r="Z522" s="101"/>
      <c r="AA522" s="101"/>
      <c r="AB522" s="101"/>
      <c r="AC522" s="101"/>
      <c r="AD522" s="101"/>
    </row>
    <row r="523" spans="9:30">
      <c r="I523" s="1504"/>
      <c r="J523" s="1504"/>
      <c r="K523" s="100"/>
      <c r="L523" s="100"/>
      <c r="M523" s="100"/>
      <c r="N523" s="100"/>
      <c r="O523" s="1505"/>
      <c r="P523" s="101"/>
      <c r="Q523" s="101"/>
      <c r="R523" s="101"/>
      <c r="S523" s="97"/>
      <c r="T523" s="97"/>
      <c r="U523" s="97"/>
      <c r="V523" s="97"/>
      <c r="W523" s="97"/>
      <c r="X523" s="97"/>
      <c r="Y523" s="101"/>
      <c r="Z523" s="101"/>
      <c r="AA523" s="101"/>
      <c r="AB523" s="101"/>
      <c r="AC523" s="101"/>
      <c r="AD523" s="101"/>
    </row>
    <row r="524" spans="9:30">
      <c r="I524" s="1504"/>
      <c r="J524" s="1504"/>
      <c r="K524" s="100"/>
      <c r="L524" s="100"/>
      <c r="M524" s="100"/>
      <c r="N524" s="100"/>
      <c r="O524" s="1505"/>
      <c r="P524" s="101"/>
      <c r="Q524" s="101"/>
      <c r="R524" s="101"/>
      <c r="S524" s="97"/>
      <c r="T524" s="97"/>
      <c r="U524" s="97"/>
      <c r="V524" s="97"/>
      <c r="W524" s="97"/>
      <c r="X524" s="97"/>
      <c r="Y524" s="101"/>
      <c r="Z524" s="101"/>
      <c r="AA524" s="101"/>
      <c r="AB524" s="101"/>
      <c r="AC524" s="101"/>
      <c r="AD524" s="101"/>
    </row>
    <row r="525" spans="9:30">
      <c r="I525" s="1504"/>
      <c r="J525" s="1504"/>
      <c r="K525" s="100"/>
      <c r="L525" s="100"/>
      <c r="M525" s="100"/>
      <c r="N525" s="100"/>
      <c r="O525" s="1505"/>
      <c r="P525" s="101"/>
      <c r="Q525" s="101"/>
      <c r="R525" s="101"/>
      <c r="S525" s="97"/>
      <c r="T525" s="97"/>
      <c r="U525" s="97"/>
      <c r="V525" s="97"/>
      <c r="W525" s="97"/>
      <c r="X525" s="97"/>
      <c r="Y525" s="101"/>
      <c r="Z525" s="101"/>
      <c r="AA525" s="101"/>
      <c r="AB525" s="101"/>
      <c r="AC525" s="101"/>
      <c r="AD525" s="101"/>
    </row>
    <row r="526" spans="9:30">
      <c r="I526" s="1504"/>
      <c r="J526" s="1504"/>
      <c r="K526" s="100"/>
      <c r="L526" s="100"/>
      <c r="M526" s="100"/>
      <c r="N526" s="100"/>
      <c r="O526" s="1505"/>
      <c r="P526" s="101"/>
      <c r="Q526" s="101"/>
      <c r="R526" s="101"/>
      <c r="S526" s="97"/>
      <c r="T526" s="97"/>
      <c r="U526" s="97"/>
      <c r="V526" s="97"/>
      <c r="W526" s="97"/>
      <c r="X526" s="97"/>
      <c r="Y526" s="101"/>
      <c r="Z526" s="101"/>
      <c r="AA526" s="101"/>
      <c r="AB526" s="101"/>
      <c r="AC526" s="101"/>
      <c r="AD526" s="101"/>
    </row>
    <row r="527" spans="9:30">
      <c r="I527" s="1504"/>
      <c r="J527" s="1504"/>
      <c r="K527" s="100"/>
      <c r="L527" s="100"/>
      <c r="M527" s="100"/>
      <c r="N527" s="100"/>
      <c r="O527" s="1505"/>
      <c r="P527" s="101"/>
      <c r="Q527" s="101"/>
      <c r="R527" s="101"/>
      <c r="S527" s="97"/>
      <c r="T527" s="97"/>
      <c r="U527" s="97"/>
      <c r="V527" s="97"/>
      <c r="W527" s="97"/>
      <c r="X527" s="97"/>
      <c r="Y527" s="101"/>
      <c r="Z527" s="101"/>
      <c r="AA527" s="101"/>
      <c r="AB527" s="101"/>
      <c r="AC527" s="101"/>
      <c r="AD527" s="101"/>
    </row>
    <row r="528" spans="9:30">
      <c r="I528" s="1504"/>
      <c r="J528" s="1504"/>
      <c r="K528" s="100"/>
      <c r="L528" s="100"/>
      <c r="M528" s="100"/>
      <c r="N528" s="100"/>
      <c r="O528" s="1505"/>
      <c r="P528" s="101"/>
      <c r="Q528" s="101"/>
      <c r="R528" s="101"/>
      <c r="S528" s="97"/>
      <c r="T528" s="97"/>
      <c r="U528" s="97"/>
      <c r="V528" s="97"/>
      <c r="W528" s="97"/>
      <c r="X528" s="97"/>
      <c r="Y528" s="101"/>
      <c r="Z528" s="101"/>
      <c r="AA528" s="101"/>
      <c r="AB528" s="101"/>
      <c r="AC528" s="101"/>
      <c r="AD528" s="101"/>
    </row>
    <row r="529" spans="9:30">
      <c r="I529" s="1504"/>
      <c r="J529" s="1504"/>
      <c r="K529" s="100"/>
      <c r="L529" s="100"/>
      <c r="M529" s="100"/>
      <c r="N529" s="100"/>
      <c r="O529" s="1505"/>
      <c r="P529" s="101"/>
      <c r="Q529" s="101"/>
      <c r="R529" s="101"/>
      <c r="S529" s="97"/>
      <c r="T529" s="97"/>
      <c r="U529" s="97"/>
      <c r="V529" s="97"/>
      <c r="W529" s="97"/>
      <c r="X529" s="97"/>
      <c r="Y529" s="101"/>
      <c r="Z529" s="101"/>
      <c r="AA529" s="101"/>
      <c r="AB529" s="101"/>
      <c r="AC529" s="101"/>
      <c r="AD529" s="101"/>
    </row>
    <row r="530" spans="9:30">
      <c r="I530" s="1504"/>
      <c r="J530" s="1504"/>
      <c r="K530" s="100"/>
      <c r="L530" s="100"/>
      <c r="M530" s="100"/>
      <c r="N530" s="100"/>
      <c r="O530" s="1505"/>
      <c r="P530" s="101"/>
      <c r="Q530" s="101"/>
      <c r="R530" s="101"/>
      <c r="S530" s="97"/>
      <c r="T530" s="97"/>
      <c r="U530" s="97"/>
      <c r="V530" s="97"/>
      <c r="W530" s="97"/>
      <c r="X530" s="97"/>
      <c r="Y530" s="101"/>
      <c r="Z530" s="101"/>
      <c r="AA530" s="101"/>
      <c r="AB530" s="101"/>
      <c r="AC530" s="101"/>
      <c r="AD530" s="101"/>
    </row>
    <row r="531" spans="9:30">
      <c r="I531" s="1504"/>
      <c r="J531" s="1504"/>
      <c r="K531" s="100"/>
      <c r="L531" s="100"/>
      <c r="M531" s="100"/>
      <c r="N531" s="100"/>
      <c r="O531" s="1505"/>
      <c r="P531" s="101"/>
      <c r="Q531" s="101"/>
      <c r="R531" s="101"/>
      <c r="S531" s="97"/>
      <c r="T531" s="97"/>
      <c r="U531" s="97"/>
      <c r="V531" s="97"/>
      <c r="W531" s="97"/>
      <c r="X531" s="97"/>
      <c r="Y531" s="101"/>
      <c r="Z531" s="101"/>
      <c r="AA531" s="101"/>
      <c r="AB531" s="101"/>
      <c r="AC531" s="101"/>
      <c r="AD531" s="101"/>
    </row>
    <row r="532" spans="9:30">
      <c r="I532" s="1504"/>
      <c r="J532" s="1504"/>
      <c r="K532" s="100"/>
      <c r="L532" s="100"/>
      <c r="M532" s="100"/>
      <c r="N532" s="100"/>
      <c r="O532" s="1505"/>
      <c r="P532" s="101"/>
      <c r="Q532" s="101"/>
      <c r="R532" s="101"/>
      <c r="S532" s="97"/>
      <c r="T532" s="97"/>
      <c r="U532" s="97"/>
      <c r="V532" s="97"/>
      <c r="W532" s="97"/>
      <c r="X532" s="97"/>
      <c r="Y532" s="101"/>
      <c r="Z532" s="101"/>
      <c r="AA532" s="101"/>
      <c r="AB532" s="101"/>
      <c r="AC532" s="101"/>
      <c r="AD532" s="101"/>
    </row>
    <row r="533" spans="9:30">
      <c r="I533" s="1504"/>
      <c r="J533" s="1504"/>
      <c r="K533" s="100"/>
      <c r="L533" s="100"/>
      <c r="M533" s="100"/>
      <c r="N533" s="100"/>
      <c r="O533" s="1505"/>
      <c r="P533" s="101"/>
      <c r="Q533" s="101"/>
      <c r="R533" s="101"/>
      <c r="S533" s="97"/>
      <c r="T533" s="97"/>
      <c r="U533" s="97"/>
      <c r="V533" s="97"/>
      <c r="W533" s="97"/>
      <c r="X533" s="97"/>
      <c r="Y533" s="101"/>
      <c r="Z533" s="101"/>
      <c r="AA533" s="101"/>
      <c r="AB533" s="101"/>
      <c r="AC533" s="101"/>
      <c r="AD533" s="101"/>
    </row>
    <row r="534" spans="9:30">
      <c r="I534" s="1504"/>
      <c r="J534" s="1504"/>
      <c r="K534" s="100"/>
      <c r="L534" s="100"/>
      <c r="M534" s="100"/>
      <c r="N534" s="100"/>
      <c r="O534" s="1505"/>
      <c r="P534" s="101"/>
      <c r="Q534" s="101"/>
      <c r="R534" s="101"/>
      <c r="S534" s="97"/>
      <c r="T534" s="97"/>
      <c r="U534" s="97"/>
      <c r="V534" s="97"/>
      <c r="W534" s="97"/>
      <c r="X534" s="97"/>
      <c r="Y534" s="101"/>
      <c r="Z534" s="101"/>
      <c r="AA534" s="101"/>
      <c r="AB534" s="101"/>
      <c r="AC534" s="101"/>
      <c r="AD534" s="101"/>
    </row>
    <row r="535" spans="9:30">
      <c r="I535" s="1504"/>
      <c r="J535" s="1504"/>
      <c r="K535" s="100"/>
      <c r="L535" s="100"/>
      <c r="M535" s="100"/>
      <c r="N535" s="100"/>
      <c r="O535" s="1505"/>
      <c r="P535" s="101"/>
      <c r="Q535" s="101"/>
      <c r="R535" s="101"/>
      <c r="S535" s="97"/>
      <c r="T535" s="97"/>
      <c r="U535" s="97"/>
      <c r="V535" s="97"/>
      <c r="W535" s="97"/>
      <c r="X535" s="97"/>
      <c r="Y535" s="101"/>
      <c r="Z535" s="101"/>
      <c r="AA535" s="101"/>
      <c r="AB535" s="101"/>
      <c r="AC535" s="101"/>
      <c r="AD535" s="101"/>
    </row>
    <row r="536" spans="9:30">
      <c r="I536" s="1504"/>
      <c r="J536" s="1504"/>
      <c r="K536" s="100"/>
      <c r="L536" s="100"/>
      <c r="M536" s="100"/>
      <c r="N536" s="100"/>
      <c r="O536" s="1505"/>
      <c r="P536" s="101"/>
      <c r="Q536" s="101"/>
      <c r="R536" s="101"/>
      <c r="S536" s="97"/>
      <c r="T536" s="97"/>
      <c r="U536" s="97"/>
      <c r="V536" s="97"/>
      <c r="W536" s="97"/>
      <c r="X536" s="97"/>
      <c r="Y536" s="101"/>
      <c r="Z536" s="101"/>
      <c r="AA536" s="101"/>
      <c r="AB536" s="101"/>
      <c r="AC536" s="101"/>
      <c r="AD536" s="101"/>
    </row>
    <row r="537" spans="9:30">
      <c r="I537" s="1504"/>
      <c r="J537" s="1504"/>
      <c r="K537" s="100"/>
      <c r="L537" s="100"/>
      <c r="M537" s="100"/>
      <c r="N537" s="100"/>
      <c r="O537" s="1505"/>
      <c r="P537" s="101"/>
      <c r="Q537" s="101"/>
      <c r="R537" s="101"/>
      <c r="S537" s="97"/>
      <c r="T537" s="97"/>
      <c r="U537" s="97"/>
      <c r="V537" s="97"/>
      <c r="W537" s="97"/>
      <c r="X537" s="97"/>
      <c r="Y537" s="101"/>
      <c r="Z537" s="101"/>
      <c r="AA537" s="101"/>
      <c r="AB537" s="101"/>
      <c r="AC537" s="101"/>
      <c r="AD537" s="101"/>
    </row>
    <row r="538" spans="9:30">
      <c r="I538" s="1504"/>
      <c r="J538" s="1504"/>
      <c r="K538" s="100"/>
      <c r="L538" s="100"/>
      <c r="M538" s="100"/>
      <c r="N538" s="100"/>
      <c r="O538" s="1505"/>
      <c r="P538" s="101"/>
      <c r="Q538" s="101"/>
      <c r="R538" s="101"/>
      <c r="S538" s="97"/>
      <c r="T538" s="97"/>
      <c r="U538" s="97"/>
      <c r="V538" s="97"/>
      <c r="W538" s="97"/>
      <c r="X538" s="97"/>
      <c r="Y538" s="101"/>
      <c r="Z538" s="101"/>
      <c r="AA538" s="101"/>
      <c r="AB538" s="101"/>
      <c r="AC538" s="101"/>
      <c r="AD538" s="101"/>
    </row>
    <row r="539" spans="9:30">
      <c r="I539" s="1504"/>
      <c r="J539" s="1504"/>
      <c r="K539" s="100"/>
      <c r="L539" s="100"/>
      <c r="M539" s="100"/>
      <c r="N539" s="100"/>
      <c r="O539" s="1505"/>
      <c r="P539" s="101"/>
      <c r="Q539" s="101"/>
      <c r="R539" s="101"/>
      <c r="S539" s="97"/>
      <c r="T539" s="97"/>
      <c r="U539" s="97"/>
      <c r="V539" s="97"/>
      <c r="W539" s="97"/>
      <c r="X539" s="97"/>
      <c r="Y539" s="101"/>
      <c r="Z539" s="101"/>
      <c r="AA539" s="101"/>
      <c r="AB539" s="101"/>
      <c r="AC539" s="101"/>
      <c r="AD539" s="101"/>
    </row>
    <row r="540" spans="9:30">
      <c r="I540" s="1504"/>
      <c r="J540" s="1504"/>
      <c r="K540" s="100"/>
      <c r="L540" s="100"/>
      <c r="M540" s="100"/>
      <c r="N540" s="100"/>
      <c r="O540" s="1505"/>
      <c r="P540" s="101"/>
      <c r="Q540" s="101"/>
      <c r="R540" s="101"/>
      <c r="S540" s="97"/>
      <c r="T540" s="97"/>
      <c r="U540" s="97"/>
      <c r="V540" s="97"/>
      <c r="W540" s="97"/>
      <c r="X540" s="97"/>
      <c r="Y540" s="101"/>
      <c r="Z540" s="101"/>
      <c r="AA540" s="101"/>
      <c r="AB540" s="101"/>
      <c r="AC540" s="101"/>
      <c r="AD540" s="101"/>
    </row>
    <row r="541" spans="9:30">
      <c r="I541" s="1504"/>
      <c r="J541" s="1504"/>
      <c r="K541" s="100"/>
      <c r="L541" s="100"/>
      <c r="M541" s="100"/>
      <c r="N541" s="100"/>
      <c r="O541" s="1505"/>
      <c r="P541" s="101"/>
      <c r="Q541" s="101"/>
      <c r="R541" s="101"/>
      <c r="S541" s="97"/>
      <c r="T541" s="97"/>
      <c r="U541" s="97"/>
      <c r="V541" s="97"/>
      <c r="W541" s="97"/>
      <c r="X541" s="97"/>
      <c r="Y541" s="101"/>
      <c r="Z541" s="101"/>
      <c r="AA541" s="101"/>
      <c r="AB541" s="101"/>
      <c r="AC541" s="101"/>
      <c r="AD541" s="101"/>
    </row>
  </sheetData>
  <sheetProtection selectLockedCells="1" selectUnlockedCells="1"/>
  <mergeCells count="17">
    <mergeCell ref="A161:B161"/>
    <mergeCell ref="Y3:AD3"/>
    <mergeCell ref="C4:E4"/>
    <mergeCell ref="F4:H4"/>
    <mergeCell ref="I4:K4"/>
    <mergeCell ref="L4:N4"/>
    <mergeCell ref="O4:R4"/>
    <mergeCell ref="S4:U4"/>
    <mergeCell ref="V4:X4"/>
    <mergeCell ref="Y4:AA4"/>
    <mergeCell ref="AB4:AD4"/>
    <mergeCell ref="A1:X1"/>
    <mergeCell ref="A3:B5"/>
    <mergeCell ref="C3:H3"/>
    <mergeCell ref="I3:N3"/>
    <mergeCell ref="O3:R3"/>
    <mergeCell ref="S3:X3"/>
  </mergeCells>
  <printOptions horizontalCentered="1"/>
  <pageMargins left="0" right="0" top="0.39370078740157483" bottom="0.35433070866141736" header="0.15748031496062992" footer="0.15748031496062992"/>
  <pageSetup paperSize="9" scale="40" firstPageNumber="0" orientation="landscape" horizontalDpi="300" verticalDpi="300" r:id="rId1"/>
  <headerFooter alignWithMargins="0">
    <oddHeader>&amp;R&amp;"Cambria,Normál" &amp;"Times New Roman,Normál" 7. m. a 2016. évi költségvetésről szóló 5/2016. (II.29.) önkormányzati rendelet végrehajtásáról szóló 11/2017. (V.3.) önkormányzati rendelethez</oddHeader>
    <oddFooter>&amp;C&amp;P</oddFooter>
  </headerFooter>
  <rowBreaks count="3" manualBreakCount="3">
    <brk id="89" max="16383" man="1"/>
    <brk id="164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AP152"/>
  <sheetViews>
    <sheetView view="pageBreakPreview" topLeftCell="A24" zoomScaleSheetLayoutView="100" workbookViewId="0">
      <selection activeCell="U35" sqref="U35"/>
    </sheetView>
  </sheetViews>
  <sheetFormatPr defaultRowHeight="15"/>
  <cols>
    <col min="1" max="1" width="2.140625" style="101" customWidth="1"/>
    <col min="2" max="2" width="49.42578125" style="101" customWidth="1"/>
    <col min="3" max="4" width="11.28515625" style="101" customWidth="1"/>
    <col min="5" max="7" width="14.140625" style="101" customWidth="1"/>
    <col min="8" max="8" width="0" style="101" hidden="1" customWidth="1"/>
    <col min="9" max="10" width="0" style="303" hidden="1" customWidth="1"/>
    <col min="11" max="11" width="0" style="293" hidden="1" customWidth="1"/>
    <col min="12" max="14" width="0" style="101" hidden="1" customWidth="1"/>
    <col min="15" max="18" width="0" style="100" hidden="1" customWidth="1"/>
    <col min="19" max="21" width="13.5703125" style="100" customWidth="1"/>
    <col min="22" max="23" width="12.140625" style="100" customWidth="1"/>
    <col min="24" max="26" width="13.5703125" style="100" customWidth="1"/>
    <col min="27" max="28" width="12.140625" style="100" customWidth="1"/>
    <col min="29" max="16384" width="9.140625" style="101"/>
  </cols>
  <sheetData>
    <row r="1" spans="1:42" s="1258" customFormat="1" ht="71.25" customHeight="1">
      <c r="A1" s="1773" t="s">
        <v>1351</v>
      </c>
      <c r="B1" s="1773"/>
      <c r="C1" s="1773"/>
      <c r="D1" s="1773"/>
      <c r="E1" s="1773"/>
      <c r="F1" s="1773"/>
      <c r="G1" s="1773"/>
      <c r="H1" s="1773"/>
      <c r="I1" s="1773"/>
      <c r="J1" s="1773"/>
      <c r="K1" s="1773"/>
      <c r="L1" s="1773"/>
      <c r="M1" s="1773"/>
      <c r="N1" s="1773"/>
      <c r="O1" s="1773"/>
      <c r="P1" s="1773"/>
      <c r="Q1" s="1773"/>
      <c r="R1" s="1773"/>
      <c r="S1" s="1773"/>
      <c r="T1" s="1773"/>
      <c r="U1" s="1773"/>
      <c r="V1" s="1773"/>
      <c r="W1" s="1773"/>
      <c r="X1" s="1773"/>
      <c r="Y1" s="1773"/>
      <c r="Z1" s="1773"/>
      <c r="AA1" s="1773"/>
      <c r="AB1" s="1773"/>
      <c r="AC1" s="631"/>
      <c r="AD1" s="1257"/>
      <c r="AE1" s="1257"/>
      <c r="AF1" s="1257"/>
      <c r="AG1" s="1257"/>
      <c r="AH1" s="1257"/>
      <c r="AI1" s="1257"/>
      <c r="AJ1" s="1257"/>
      <c r="AK1" s="1257"/>
      <c r="AL1" s="1257"/>
      <c r="AM1" s="1257"/>
    </row>
    <row r="2" spans="1:42" s="1258" customFormat="1" ht="13.5" customHeight="1">
      <c r="A2" s="1256"/>
      <c r="B2" s="1259"/>
      <c r="C2" s="1259"/>
      <c r="D2" s="1259"/>
      <c r="E2" s="1259"/>
      <c r="F2" s="1259"/>
      <c r="G2" s="1259"/>
      <c r="H2" s="1259"/>
      <c r="I2" s="1261"/>
      <c r="J2" s="1261"/>
      <c r="K2" s="1261"/>
      <c r="L2" s="1261"/>
      <c r="M2" s="1261"/>
      <c r="N2" s="1261"/>
      <c r="O2" s="1261"/>
      <c r="P2" s="1261"/>
      <c r="Q2" s="1261"/>
      <c r="R2" s="1261"/>
      <c r="S2" s="1261"/>
      <c r="T2" s="1261"/>
      <c r="U2" s="1261"/>
      <c r="V2" s="1261"/>
      <c r="W2" s="1229"/>
      <c r="X2" s="1261"/>
      <c r="Y2" s="1261"/>
      <c r="Z2" s="1261"/>
      <c r="AA2" s="1261"/>
      <c r="AB2" s="1229" t="s">
        <v>0</v>
      </c>
      <c r="AC2" s="631"/>
      <c r="AD2" s="631"/>
      <c r="AE2" s="631"/>
      <c r="AF2" s="631"/>
      <c r="AG2" s="1257"/>
      <c r="AH2" s="1257"/>
      <c r="AI2" s="1257"/>
      <c r="AJ2" s="1257"/>
      <c r="AK2" s="1257"/>
      <c r="AL2" s="1257"/>
      <c r="AM2" s="1257"/>
      <c r="AN2" s="1257"/>
      <c r="AO2" s="1257"/>
      <c r="AP2" s="1257"/>
    </row>
    <row r="3" spans="1:42" s="293" customFormat="1" ht="19.5" customHeight="1">
      <c r="A3" s="1783" t="s">
        <v>957</v>
      </c>
      <c r="B3" s="1783"/>
      <c r="C3" s="1774" t="s">
        <v>2</v>
      </c>
      <c r="D3" s="1774"/>
      <c r="E3" s="1774"/>
      <c r="F3" s="1774"/>
      <c r="G3" s="1774"/>
      <c r="H3" s="1774"/>
      <c r="I3" s="1774" t="s">
        <v>958</v>
      </c>
      <c r="J3" s="1774"/>
      <c r="K3" s="1774"/>
      <c r="L3" s="1774"/>
      <c r="M3" s="1774"/>
      <c r="N3" s="1774"/>
      <c r="O3" s="1784" t="s">
        <v>959</v>
      </c>
      <c r="P3" s="1784"/>
      <c r="Q3" s="1784"/>
      <c r="R3" s="1784"/>
      <c r="S3" s="1774" t="s">
        <v>5</v>
      </c>
      <c r="T3" s="1774"/>
      <c r="U3" s="1774"/>
      <c r="V3" s="1774"/>
      <c r="W3" s="1774"/>
      <c r="X3" s="1774" t="s">
        <v>960</v>
      </c>
      <c r="Y3" s="1774"/>
      <c r="Z3" s="1774"/>
      <c r="AA3" s="1774"/>
      <c r="AB3" s="1774"/>
    </row>
    <row r="4" spans="1:42" s="293" customFormat="1" ht="26.25" customHeight="1">
      <c r="A4" s="1783"/>
      <c r="B4" s="1783"/>
      <c r="C4" s="1785" t="s">
        <v>961</v>
      </c>
      <c r="D4" s="1785"/>
      <c r="E4" s="1785"/>
      <c r="F4" s="1774" t="s">
        <v>962</v>
      </c>
      <c r="G4" s="1774"/>
      <c r="H4" s="1774"/>
      <c r="I4" s="1785" t="s">
        <v>961</v>
      </c>
      <c r="J4" s="1785"/>
      <c r="K4" s="1785"/>
      <c r="L4" s="1774" t="s">
        <v>962</v>
      </c>
      <c r="M4" s="1774"/>
      <c r="N4" s="1774"/>
      <c r="O4" s="1784" t="s">
        <v>962</v>
      </c>
      <c r="P4" s="1784" t="s">
        <v>962</v>
      </c>
      <c r="Q4" s="1784"/>
      <c r="R4" s="1784"/>
      <c r="S4" s="1786" t="s">
        <v>961</v>
      </c>
      <c r="T4" s="1786"/>
      <c r="U4" s="1786"/>
      <c r="V4" s="1786" t="s">
        <v>962</v>
      </c>
      <c r="W4" s="1786"/>
      <c r="X4" s="1786" t="s">
        <v>961</v>
      </c>
      <c r="Y4" s="1786"/>
      <c r="Z4" s="1786"/>
      <c r="AA4" s="1786" t="s">
        <v>962</v>
      </c>
      <c r="AB4" s="1786"/>
    </row>
    <row r="5" spans="1:42" s="293" customFormat="1" ht="60" customHeight="1">
      <c r="A5" s="1783"/>
      <c r="B5" s="1783"/>
      <c r="C5" s="1264" t="s">
        <v>963</v>
      </c>
      <c r="D5" s="1264" t="s">
        <v>964</v>
      </c>
      <c r="E5" s="1268" t="s">
        <v>965</v>
      </c>
      <c r="F5" s="1510" t="s">
        <v>969</v>
      </c>
      <c r="G5" s="1634" t="s">
        <v>967</v>
      </c>
      <c r="H5" s="1273" t="s">
        <v>968</v>
      </c>
      <c r="I5" s="1635" t="s">
        <v>963</v>
      </c>
      <c r="J5" s="1264" t="s">
        <v>964</v>
      </c>
      <c r="K5" s="1268" t="s">
        <v>965</v>
      </c>
      <c r="L5" s="1230" t="s">
        <v>969</v>
      </c>
      <c r="M5" s="1634" t="s">
        <v>967</v>
      </c>
      <c r="N5" s="1273" t="s">
        <v>968</v>
      </c>
      <c r="O5" s="1274" t="s">
        <v>972</v>
      </c>
      <c r="P5" s="1636" t="s">
        <v>969</v>
      </c>
      <c r="Q5" s="1637" t="s">
        <v>1333</v>
      </c>
      <c r="R5" s="1638" t="s">
        <v>968</v>
      </c>
      <c r="S5" s="1635" t="s">
        <v>963</v>
      </c>
      <c r="T5" s="1264" t="s">
        <v>964</v>
      </c>
      <c r="U5" s="1268" t="s">
        <v>965</v>
      </c>
      <c r="V5" s="1230" t="s">
        <v>969</v>
      </c>
      <c r="W5" s="1273" t="s">
        <v>967</v>
      </c>
      <c r="X5" s="1635" t="s">
        <v>963</v>
      </c>
      <c r="Y5" s="1264" t="s">
        <v>964</v>
      </c>
      <c r="Z5" s="1268" t="s">
        <v>965</v>
      </c>
      <c r="AA5" s="1230" t="s">
        <v>969</v>
      </c>
      <c r="AB5" s="1273" t="s">
        <v>967</v>
      </c>
    </row>
    <row r="6" spans="1:42" s="293" customFormat="1" ht="14.25" customHeight="1">
      <c r="A6" s="1306"/>
      <c r="B6" s="1257"/>
      <c r="C6" s="1639"/>
      <c r="D6" s="1354"/>
      <c r="E6" s="1640"/>
      <c r="F6" s="1257"/>
      <c r="G6" s="1257"/>
      <c r="H6" s="1257"/>
      <c r="I6" s="1527"/>
      <c r="J6" s="1516"/>
      <c r="K6" s="1517"/>
      <c r="L6" s="304"/>
      <c r="M6" s="294"/>
      <c r="N6" s="1356"/>
      <c r="O6" s="1518"/>
      <c r="P6" s="1519"/>
      <c r="Q6" s="1520"/>
      <c r="R6" s="1641"/>
      <c r="S6" s="1515"/>
      <c r="T6" s="1515"/>
      <c r="U6" s="1517"/>
      <c r="V6" s="1528"/>
      <c r="W6" s="1530"/>
      <c r="X6" s="1515"/>
      <c r="Y6" s="1515"/>
      <c r="Z6" s="1517"/>
      <c r="AA6" s="1528"/>
      <c r="AB6" s="1530"/>
    </row>
    <row r="7" spans="1:42" s="293" customFormat="1" ht="14.25" customHeight="1">
      <c r="A7" s="1328"/>
      <c r="B7" s="1533"/>
      <c r="C7" s="1342">
        <f>SUM(C8:C23)</f>
        <v>67455000</v>
      </c>
      <c r="D7" s="1334">
        <f>SUM(D8:D23)</f>
        <v>67455000</v>
      </c>
      <c r="E7" s="1333">
        <f>SUM(E8:E23)</f>
        <v>0</v>
      </c>
      <c r="F7" s="1335">
        <f>SUM(F8:F23)</f>
        <v>0</v>
      </c>
      <c r="G7" s="1333">
        <f>SUM(G8:G23)</f>
        <v>67455000</v>
      </c>
      <c r="H7" s="1590"/>
      <c r="I7" s="1342">
        <f t="shared" ref="I7:W7" si="0">SUM(I8:I23)</f>
        <v>67455000</v>
      </c>
      <c r="J7" s="1334">
        <f t="shared" si="0"/>
        <v>67455000</v>
      </c>
      <c r="K7" s="1333">
        <f t="shared" si="0"/>
        <v>0</v>
      </c>
      <c r="L7" s="1335">
        <f t="shared" si="0"/>
        <v>0</v>
      </c>
      <c r="M7" s="1335">
        <f t="shared" si="0"/>
        <v>67455000</v>
      </c>
      <c r="N7" s="1333">
        <f t="shared" si="0"/>
        <v>0</v>
      </c>
      <c r="O7" s="1336">
        <f t="shared" si="0"/>
        <v>5814000</v>
      </c>
      <c r="P7" s="1337">
        <f t="shared" si="0"/>
        <v>5814000</v>
      </c>
      <c r="Q7" s="1337">
        <f t="shared" si="0"/>
        <v>0</v>
      </c>
      <c r="R7" s="1475">
        <f t="shared" si="0"/>
        <v>0</v>
      </c>
      <c r="S7" s="1334">
        <f t="shared" si="0"/>
        <v>77269000</v>
      </c>
      <c r="T7" s="1334">
        <f t="shared" si="0"/>
        <v>75283606</v>
      </c>
      <c r="U7" s="1333">
        <f t="shared" si="0"/>
        <v>1985394</v>
      </c>
      <c r="V7" s="1335">
        <f t="shared" si="0"/>
        <v>9814000</v>
      </c>
      <c r="W7" s="1333">
        <f t="shared" si="0"/>
        <v>67455000</v>
      </c>
      <c r="X7" s="1334">
        <f>SUM(X8:X9:X10)</f>
        <v>13056377</v>
      </c>
      <c r="Y7" s="1334">
        <f>SUM(Y8:Y23)</f>
        <v>13056377</v>
      </c>
      <c r="Z7" s="1333">
        <f>SUM(Z8:Z23)</f>
        <v>0</v>
      </c>
      <c r="AA7" s="1335">
        <f>SUM(AA8:AA23)</f>
        <v>13056377</v>
      </c>
      <c r="AB7" s="1333">
        <f>SUM(AB8:AB23)</f>
        <v>0</v>
      </c>
    </row>
    <row r="8" spans="1:42" s="293" customFormat="1" ht="18.75" customHeight="1">
      <c r="A8" s="1389"/>
      <c r="B8" s="1236" t="s">
        <v>1334</v>
      </c>
      <c r="C8" s="1352">
        <f>D8+E8</f>
        <v>67455000</v>
      </c>
      <c r="D8" s="1348">
        <v>67455000</v>
      </c>
      <c r="E8" s="1347"/>
      <c r="F8" s="1137"/>
      <c r="G8" s="1347">
        <v>67455000</v>
      </c>
      <c r="H8" s="1642"/>
      <c r="I8" s="1352">
        <f>SUM(L8:N8)</f>
        <v>67455000</v>
      </c>
      <c r="J8" s="1348">
        <f>SUM(I8)/1</f>
        <v>67455000</v>
      </c>
      <c r="K8" s="1347">
        <f>SUM(J8)*0</f>
        <v>0</v>
      </c>
      <c r="L8" s="1137"/>
      <c r="M8" s="1137">
        <v>67455000</v>
      </c>
      <c r="N8" s="1347"/>
      <c r="O8" s="1349">
        <f>SUM(P8:R8)</f>
        <v>0</v>
      </c>
      <c r="P8" s="1252"/>
      <c r="Q8" s="1252"/>
      <c r="R8" s="1473"/>
      <c r="S8" s="1348">
        <f>SUM(V8:W8)</f>
        <v>67455000</v>
      </c>
      <c r="T8" s="1348">
        <f>SUM(S8)/1</f>
        <v>67455000</v>
      </c>
      <c r="U8" s="1347">
        <f>SUM(T8)*0</f>
        <v>0</v>
      </c>
      <c r="V8" s="1137">
        <f>SUM(L8+P8)</f>
        <v>0</v>
      </c>
      <c r="W8" s="1347">
        <f>SUM(M8+Q8)</f>
        <v>67455000</v>
      </c>
      <c r="X8" s="1348">
        <f>Y8+Z8</f>
        <v>13056377</v>
      </c>
      <c r="Y8" s="1348">
        <v>13056377</v>
      </c>
      <c r="Z8" s="1347"/>
      <c r="AA8" s="1137">
        <v>13056377</v>
      </c>
      <c r="AB8" s="1347"/>
    </row>
    <row r="9" spans="1:42" s="293" customFormat="1" ht="21.75" customHeight="1">
      <c r="A9" s="1389"/>
      <c r="B9" s="1537" t="s">
        <v>1335</v>
      </c>
      <c r="C9" s="1352"/>
      <c r="D9" s="1348"/>
      <c r="E9" s="1347"/>
      <c r="F9" s="1137"/>
      <c r="G9" s="1347"/>
      <c r="H9" s="1343"/>
      <c r="I9" s="1352">
        <f>SUM(L9:N9)</f>
        <v>0</v>
      </c>
      <c r="J9" s="1348">
        <f>SUM(I9)/1.27</f>
        <v>0</v>
      </c>
      <c r="K9" s="1347">
        <f>SUM(J9)*0.27</f>
        <v>0</v>
      </c>
      <c r="L9" s="1137"/>
      <c r="M9" s="1137"/>
      <c r="N9" s="1347"/>
      <c r="O9" s="1349">
        <f>SUM(P9:R9)</f>
        <v>5814000</v>
      </c>
      <c r="P9" s="1252">
        <v>5814000</v>
      </c>
      <c r="Q9" s="1252"/>
      <c r="R9" s="1473"/>
      <c r="S9" s="1348">
        <f>SUM(V9:W9)</f>
        <v>5814000</v>
      </c>
      <c r="T9" s="1348">
        <v>4679000</v>
      </c>
      <c r="U9" s="1347">
        <v>1135000</v>
      </c>
      <c r="V9" s="1137">
        <f>SUM(L9+P9)</f>
        <v>5814000</v>
      </c>
      <c r="W9" s="1347">
        <f>SUM(M9+Q9)</f>
        <v>0</v>
      </c>
      <c r="X9" s="1348"/>
      <c r="Y9" s="1348"/>
      <c r="Z9" s="1347"/>
      <c r="AA9" s="1137"/>
      <c r="AB9" s="1347"/>
    </row>
    <row r="10" spans="1:42" s="293" customFormat="1" ht="21.75" customHeight="1">
      <c r="A10" s="1389"/>
      <c r="B10" s="1537" t="s">
        <v>252</v>
      </c>
      <c r="C10" s="1352"/>
      <c r="D10" s="1348"/>
      <c r="E10" s="1347"/>
      <c r="F10" s="1137"/>
      <c r="G10" s="1347"/>
      <c r="H10" s="1537"/>
      <c r="I10" s="1352"/>
      <c r="J10" s="1348"/>
      <c r="K10" s="1347"/>
      <c r="L10" s="1137"/>
      <c r="M10" s="1137"/>
      <c r="N10" s="1347"/>
      <c r="O10" s="1349"/>
      <c r="P10" s="1252"/>
      <c r="Q10" s="1252"/>
      <c r="R10" s="1473"/>
      <c r="S10" s="1348">
        <f>SUM(V10:W10)</f>
        <v>4000000</v>
      </c>
      <c r="T10" s="1348">
        <v>3149606</v>
      </c>
      <c r="U10" s="1347">
        <v>850394</v>
      </c>
      <c r="V10" s="1137">
        <v>4000000</v>
      </c>
      <c r="W10" s="1347"/>
      <c r="X10" s="1348"/>
      <c r="Y10" s="1348"/>
      <c r="Z10" s="1347"/>
      <c r="AA10" s="1137"/>
      <c r="AB10" s="1347"/>
    </row>
    <row r="11" spans="1:42" s="832" customFormat="1" ht="21.75" customHeight="1">
      <c r="A11" s="1630"/>
      <c r="B11" s="1537"/>
      <c r="C11" s="1352"/>
      <c r="D11" s="1348"/>
      <c r="E11" s="1347"/>
      <c r="F11" s="1137"/>
      <c r="G11" s="1347"/>
      <c r="H11" s="1537"/>
      <c r="I11" s="1350">
        <f t="shared" ref="I11:I23" si="1">SUM(L11:N11)</f>
        <v>0</v>
      </c>
      <c r="J11" s="1348">
        <f>SUM(I11)/1.27</f>
        <v>0</v>
      </c>
      <c r="K11" s="1347">
        <f>SUM(J11)*0.27</f>
        <v>0</v>
      </c>
      <c r="L11" s="1137"/>
      <c r="M11" s="1137"/>
      <c r="N11" s="1347"/>
      <c r="O11" s="1349">
        <f t="shared" ref="O11:O23" si="2">SUM(P11:R11)</f>
        <v>0</v>
      </c>
      <c r="P11" s="1252"/>
      <c r="Q11" s="1252"/>
      <c r="R11" s="1473"/>
      <c r="S11" s="1348"/>
      <c r="T11" s="1348"/>
      <c r="U11" s="1347"/>
      <c r="V11" s="1137"/>
      <c r="W11" s="1347"/>
      <c r="Y11" s="1348"/>
      <c r="Z11" s="1347"/>
      <c r="AA11" s="1137"/>
      <c r="AB11" s="1347"/>
    </row>
    <row r="12" spans="1:42" s="832" customFormat="1" ht="23.25" customHeight="1">
      <c r="A12" s="1630"/>
      <c r="B12" s="1537"/>
      <c r="C12" s="1352"/>
      <c r="D12" s="1348"/>
      <c r="E12" s="1347"/>
      <c r="F12" s="1137"/>
      <c r="G12" s="1347"/>
      <c r="H12" s="1537"/>
      <c r="I12" s="1350">
        <f t="shared" si="1"/>
        <v>0</v>
      </c>
      <c r="J12" s="1348">
        <f>SUM(I12)/1.27</f>
        <v>0</v>
      </c>
      <c r="K12" s="1347">
        <f>SUM(J12)*0.27</f>
        <v>0</v>
      </c>
      <c r="L12" s="1137"/>
      <c r="M12" s="1137"/>
      <c r="N12" s="1347"/>
      <c r="O12" s="1349">
        <f t="shared" si="2"/>
        <v>0</v>
      </c>
      <c r="P12" s="1252"/>
      <c r="Q12" s="1252"/>
      <c r="R12" s="1473"/>
      <c r="S12" s="1348"/>
      <c r="T12" s="1348"/>
      <c r="U12" s="1347"/>
      <c r="V12" s="1137"/>
      <c r="W12" s="1347"/>
      <c r="X12" s="1348"/>
      <c r="Y12" s="1348"/>
      <c r="Z12" s="1347"/>
      <c r="AA12" s="1137"/>
      <c r="AB12" s="1347"/>
    </row>
    <row r="13" spans="1:42" s="832" customFormat="1" ht="21" hidden="1" customHeight="1">
      <c r="A13" s="1630"/>
      <c r="B13" s="1537" t="s">
        <v>1336</v>
      </c>
      <c r="C13" s="1643"/>
      <c r="D13" s="1401"/>
      <c r="E13" s="1343"/>
      <c r="F13" s="1537"/>
      <c r="G13" s="1537"/>
      <c r="H13" s="1537"/>
      <c r="I13" s="1350">
        <f t="shared" si="1"/>
        <v>0</v>
      </c>
      <c r="J13" s="1348">
        <f>SUM(I13)/1</f>
        <v>0</v>
      </c>
      <c r="K13" s="1347">
        <f>SUM(J13)*0</f>
        <v>0</v>
      </c>
      <c r="L13" s="1137"/>
      <c r="M13" s="1137"/>
      <c r="N13" s="1347"/>
      <c r="O13" s="1349">
        <f t="shared" si="2"/>
        <v>0</v>
      </c>
      <c r="P13" s="1252"/>
      <c r="Q13" s="1252"/>
      <c r="R13" s="1473"/>
      <c r="S13" s="1348">
        <f t="shared" ref="S13:S23" si="3">SUM(V13:W13)</f>
        <v>0</v>
      </c>
      <c r="T13" s="1348">
        <f>SUM(S13)/1</f>
        <v>0</v>
      </c>
      <c r="U13" s="1347">
        <f>SUM(T13)*0</f>
        <v>0</v>
      </c>
      <c r="V13" s="1137">
        <f t="shared" ref="V13:V23" si="4">SUM(L13+P13)</f>
        <v>0</v>
      </c>
      <c r="W13" s="1347">
        <f t="shared" ref="W13:W23" si="5">SUM(M13+Q13)</f>
        <v>0</v>
      </c>
      <c r="X13" s="1348">
        <f t="shared" ref="X13:X23" si="6">SUM(AA13:AB13)</f>
        <v>0</v>
      </c>
      <c r="Y13" s="1348">
        <f>SUM(X13)/1</f>
        <v>0</v>
      </c>
      <c r="Z13" s="1347">
        <f>SUM(Y13)*0</f>
        <v>0</v>
      </c>
      <c r="AA13" s="1137">
        <f t="shared" ref="AA13:AA23" si="7">SUM(Q13+U13)</f>
        <v>0</v>
      </c>
      <c r="AB13" s="1347">
        <f t="shared" ref="AB13:AB23" si="8">SUM(R13+V13)</f>
        <v>0</v>
      </c>
    </row>
    <row r="14" spans="1:42" s="293" customFormat="1" ht="18.75" hidden="1" customHeight="1">
      <c r="A14" s="1389"/>
      <c r="B14" s="1537" t="s">
        <v>1337</v>
      </c>
      <c r="C14" s="1643"/>
      <c r="D14" s="1401"/>
      <c r="E14" s="1343"/>
      <c r="F14" s="1537"/>
      <c r="G14" s="1537"/>
      <c r="H14" s="1537"/>
      <c r="I14" s="1350">
        <f t="shared" si="1"/>
        <v>0</v>
      </c>
      <c r="J14" s="1348">
        <f t="shared" ref="J14:J23" si="9">SUM(I14)/1.27</f>
        <v>0</v>
      </c>
      <c r="K14" s="1347">
        <f t="shared" ref="K14:K23" si="10">SUM(J14)*0.27</f>
        <v>0</v>
      </c>
      <c r="L14" s="1137"/>
      <c r="M14" s="1137"/>
      <c r="N14" s="1347"/>
      <c r="O14" s="1349">
        <f t="shared" si="2"/>
        <v>0</v>
      </c>
      <c r="P14" s="1252"/>
      <c r="Q14" s="1252"/>
      <c r="R14" s="1473"/>
      <c r="S14" s="1348">
        <f t="shared" si="3"/>
        <v>0</v>
      </c>
      <c r="T14" s="1348">
        <f t="shared" ref="T14:T23" si="11">SUM(S14)/1.27</f>
        <v>0</v>
      </c>
      <c r="U14" s="1347">
        <f t="shared" ref="U14:U23" si="12">SUM(T14)*0.27</f>
        <v>0</v>
      </c>
      <c r="V14" s="1137">
        <f t="shared" si="4"/>
        <v>0</v>
      </c>
      <c r="W14" s="1347">
        <f t="shared" si="5"/>
        <v>0</v>
      </c>
      <c r="X14" s="1348">
        <f t="shared" si="6"/>
        <v>0</v>
      </c>
      <c r="Y14" s="1348">
        <f t="shared" ref="Y14:Y23" si="13">SUM(X14)/1.27</f>
        <v>0</v>
      </c>
      <c r="Z14" s="1347">
        <f t="shared" ref="Z14:Z23" si="14">SUM(Y14)*0.27</f>
        <v>0</v>
      </c>
      <c r="AA14" s="1137">
        <f t="shared" si="7"/>
        <v>0</v>
      </c>
      <c r="AB14" s="1347">
        <f t="shared" si="8"/>
        <v>0</v>
      </c>
    </row>
    <row r="15" spans="1:42" s="293" customFormat="1" ht="18.75" hidden="1" customHeight="1">
      <c r="A15" s="1389"/>
      <c r="B15" s="1537"/>
      <c r="C15" s="1643"/>
      <c r="D15" s="1401"/>
      <c r="E15" s="1343"/>
      <c r="F15" s="1537"/>
      <c r="G15" s="1537"/>
      <c r="H15" s="1537"/>
      <c r="I15" s="1352">
        <f t="shared" si="1"/>
        <v>0</v>
      </c>
      <c r="J15" s="1348">
        <f t="shared" si="9"/>
        <v>0</v>
      </c>
      <c r="K15" s="1347">
        <f t="shared" si="10"/>
        <v>0</v>
      </c>
      <c r="L15" s="1137"/>
      <c r="M15" s="1137"/>
      <c r="N15" s="1347"/>
      <c r="O15" s="1349">
        <f t="shared" si="2"/>
        <v>0</v>
      </c>
      <c r="P15" s="1252"/>
      <c r="Q15" s="1252"/>
      <c r="R15" s="1473"/>
      <c r="S15" s="1348">
        <f t="shared" si="3"/>
        <v>0</v>
      </c>
      <c r="T15" s="1348">
        <f t="shared" si="11"/>
        <v>0</v>
      </c>
      <c r="U15" s="1347">
        <f t="shared" si="12"/>
        <v>0</v>
      </c>
      <c r="V15" s="1137">
        <f t="shared" si="4"/>
        <v>0</v>
      </c>
      <c r="W15" s="1347">
        <f t="shared" si="5"/>
        <v>0</v>
      </c>
      <c r="X15" s="1348">
        <f t="shared" si="6"/>
        <v>0</v>
      </c>
      <c r="Y15" s="1348">
        <f t="shared" si="13"/>
        <v>0</v>
      </c>
      <c r="Z15" s="1347">
        <f t="shared" si="14"/>
        <v>0</v>
      </c>
      <c r="AA15" s="1137">
        <f t="shared" si="7"/>
        <v>0</v>
      </c>
      <c r="AB15" s="1347">
        <f t="shared" si="8"/>
        <v>0</v>
      </c>
    </row>
    <row r="16" spans="1:42" s="832" customFormat="1" ht="18.75" hidden="1" customHeight="1">
      <c r="A16" s="1630"/>
      <c r="B16" s="1537"/>
      <c r="C16" s="1643"/>
      <c r="D16" s="1401"/>
      <c r="E16" s="1343"/>
      <c r="F16" s="1537"/>
      <c r="G16" s="1537"/>
      <c r="H16" s="1537"/>
      <c r="I16" s="1352">
        <f t="shared" si="1"/>
        <v>0</v>
      </c>
      <c r="J16" s="1348">
        <f t="shared" si="9"/>
        <v>0</v>
      </c>
      <c r="K16" s="1347">
        <f t="shared" si="10"/>
        <v>0</v>
      </c>
      <c r="L16" s="1137"/>
      <c r="M16" s="1137"/>
      <c r="N16" s="1347"/>
      <c r="O16" s="1349">
        <f t="shared" si="2"/>
        <v>0</v>
      </c>
      <c r="P16" s="1252"/>
      <c r="Q16" s="1252"/>
      <c r="R16" s="1473"/>
      <c r="S16" s="1348">
        <f t="shared" si="3"/>
        <v>0</v>
      </c>
      <c r="T16" s="1348">
        <f t="shared" si="11"/>
        <v>0</v>
      </c>
      <c r="U16" s="1347">
        <f t="shared" si="12"/>
        <v>0</v>
      </c>
      <c r="V16" s="1137">
        <f t="shared" si="4"/>
        <v>0</v>
      </c>
      <c r="W16" s="1347">
        <f t="shared" si="5"/>
        <v>0</v>
      </c>
      <c r="X16" s="1348">
        <f t="shared" si="6"/>
        <v>0</v>
      </c>
      <c r="Y16" s="1348">
        <f t="shared" si="13"/>
        <v>0</v>
      </c>
      <c r="Z16" s="1347">
        <f t="shared" si="14"/>
        <v>0</v>
      </c>
      <c r="AA16" s="1137">
        <f t="shared" si="7"/>
        <v>0</v>
      </c>
      <c r="AB16" s="1347">
        <f t="shared" si="8"/>
        <v>0</v>
      </c>
    </row>
    <row r="17" spans="1:28" s="293" customFormat="1" ht="18.75" hidden="1" customHeight="1">
      <c r="A17" s="1389"/>
      <c r="B17" s="1537"/>
      <c r="C17" s="1643"/>
      <c r="D17" s="1401"/>
      <c r="E17" s="1343"/>
      <c r="F17" s="1537"/>
      <c r="G17" s="1537"/>
      <c r="H17" s="1343"/>
      <c r="I17" s="1352">
        <f t="shared" si="1"/>
        <v>0</v>
      </c>
      <c r="J17" s="1348">
        <f t="shared" si="9"/>
        <v>0</v>
      </c>
      <c r="K17" s="1347">
        <f t="shared" si="10"/>
        <v>0</v>
      </c>
      <c r="L17" s="1137"/>
      <c r="M17" s="1137"/>
      <c r="N17" s="1347"/>
      <c r="O17" s="1349">
        <f t="shared" si="2"/>
        <v>0</v>
      </c>
      <c r="P17" s="1252"/>
      <c r="Q17" s="1252"/>
      <c r="R17" s="1473"/>
      <c r="S17" s="1348">
        <f t="shared" si="3"/>
        <v>0</v>
      </c>
      <c r="T17" s="1348">
        <f t="shared" si="11"/>
        <v>0</v>
      </c>
      <c r="U17" s="1347">
        <f t="shared" si="12"/>
        <v>0</v>
      </c>
      <c r="V17" s="1137">
        <f t="shared" si="4"/>
        <v>0</v>
      </c>
      <c r="W17" s="1347">
        <f t="shared" si="5"/>
        <v>0</v>
      </c>
      <c r="X17" s="1348">
        <f t="shared" si="6"/>
        <v>0</v>
      </c>
      <c r="Y17" s="1348">
        <f t="shared" si="13"/>
        <v>0</v>
      </c>
      <c r="Z17" s="1347">
        <f t="shared" si="14"/>
        <v>0</v>
      </c>
      <c r="AA17" s="1137">
        <f t="shared" si="7"/>
        <v>0</v>
      </c>
      <c r="AB17" s="1347">
        <f t="shared" si="8"/>
        <v>0</v>
      </c>
    </row>
    <row r="18" spans="1:28" s="293" customFormat="1" ht="18.75" hidden="1" customHeight="1">
      <c r="A18" s="1306"/>
      <c r="B18" s="1537"/>
      <c r="C18" s="1643"/>
      <c r="D18" s="1401"/>
      <c r="E18" s="1343"/>
      <c r="F18" s="1537"/>
      <c r="G18" s="1537"/>
      <c r="H18" s="1537"/>
      <c r="I18" s="1352">
        <f t="shared" si="1"/>
        <v>0</v>
      </c>
      <c r="J18" s="1348">
        <f t="shared" si="9"/>
        <v>0</v>
      </c>
      <c r="K18" s="1347">
        <f t="shared" si="10"/>
        <v>0</v>
      </c>
      <c r="L18" s="1348"/>
      <c r="M18" s="1137"/>
      <c r="N18" s="1347"/>
      <c r="O18" s="1349">
        <f t="shared" si="2"/>
        <v>0</v>
      </c>
      <c r="P18" s="1252"/>
      <c r="Q18" s="1252"/>
      <c r="R18" s="1473"/>
      <c r="S18" s="1348">
        <f t="shared" si="3"/>
        <v>0</v>
      </c>
      <c r="T18" s="1348">
        <f t="shared" si="11"/>
        <v>0</v>
      </c>
      <c r="U18" s="1347">
        <f t="shared" si="12"/>
        <v>0</v>
      </c>
      <c r="V18" s="1137">
        <f t="shared" si="4"/>
        <v>0</v>
      </c>
      <c r="W18" s="1347">
        <f t="shared" si="5"/>
        <v>0</v>
      </c>
      <c r="X18" s="1348">
        <f t="shared" si="6"/>
        <v>0</v>
      </c>
      <c r="Y18" s="1348">
        <f t="shared" si="13"/>
        <v>0</v>
      </c>
      <c r="Z18" s="1347">
        <f t="shared" si="14"/>
        <v>0</v>
      </c>
      <c r="AA18" s="1137">
        <f t="shared" si="7"/>
        <v>0</v>
      </c>
      <c r="AB18" s="1347">
        <f t="shared" si="8"/>
        <v>0</v>
      </c>
    </row>
    <row r="19" spans="1:28" s="293" customFormat="1" ht="18.75" hidden="1" customHeight="1">
      <c r="A19" s="1306"/>
      <c r="B19" s="1537"/>
      <c r="C19" s="1643"/>
      <c r="D19" s="1401"/>
      <c r="E19" s="1343"/>
      <c r="F19" s="1537"/>
      <c r="G19" s="1537"/>
      <c r="H19" s="1343"/>
      <c r="I19" s="1352">
        <f t="shared" si="1"/>
        <v>0</v>
      </c>
      <c r="J19" s="1348">
        <f t="shared" si="9"/>
        <v>0</v>
      </c>
      <c r="K19" s="1347">
        <f t="shared" si="10"/>
        <v>0</v>
      </c>
      <c r="L19" s="1348"/>
      <c r="M19" s="1137"/>
      <c r="N19" s="1347"/>
      <c r="O19" s="1349">
        <f t="shared" si="2"/>
        <v>0</v>
      </c>
      <c r="P19" s="1252"/>
      <c r="Q19" s="1252"/>
      <c r="R19" s="1473"/>
      <c r="S19" s="1348">
        <f t="shared" si="3"/>
        <v>0</v>
      </c>
      <c r="T19" s="1348">
        <f t="shared" si="11"/>
        <v>0</v>
      </c>
      <c r="U19" s="1347">
        <f t="shared" si="12"/>
        <v>0</v>
      </c>
      <c r="V19" s="1137">
        <f t="shared" si="4"/>
        <v>0</v>
      </c>
      <c r="W19" s="1347">
        <f t="shared" si="5"/>
        <v>0</v>
      </c>
      <c r="X19" s="1348">
        <f t="shared" si="6"/>
        <v>0</v>
      </c>
      <c r="Y19" s="1348">
        <f t="shared" si="13"/>
        <v>0</v>
      </c>
      <c r="Z19" s="1347">
        <f t="shared" si="14"/>
        <v>0</v>
      </c>
      <c r="AA19" s="1137">
        <f t="shared" si="7"/>
        <v>0</v>
      </c>
      <c r="AB19" s="1347">
        <f t="shared" si="8"/>
        <v>0</v>
      </c>
    </row>
    <row r="20" spans="1:28" s="293" customFormat="1" ht="18.75" hidden="1" customHeight="1">
      <c r="A20" s="1306"/>
      <c r="B20" s="1537"/>
      <c r="C20" s="1643"/>
      <c r="D20" s="1401"/>
      <c r="E20" s="1343"/>
      <c r="F20" s="1537"/>
      <c r="G20" s="1537"/>
      <c r="H20" s="1537"/>
      <c r="I20" s="1352">
        <f t="shared" si="1"/>
        <v>0</v>
      </c>
      <c r="J20" s="1137">
        <f t="shared" si="9"/>
        <v>0</v>
      </c>
      <c r="K20" s="1137">
        <f t="shared" si="10"/>
        <v>0</v>
      </c>
      <c r="L20" s="1348"/>
      <c r="M20" s="1137"/>
      <c r="N20" s="1347"/>
      <c r="O20" s="1349">
        <f t="shared" si="2"/>
        <v>0</v>
      </c>
      <c r="P20" s="1252"/>
      <c r="Q20" s="1252"/>
      <c r="R20" s="1473"/>
      <c r="S20" s="1348">
        <f t="shared" si="3"/>
        <v>0</v>
      </c>
      <c r="T20" s="1348">
        <f t="shared" si="11"/>
        <v>0</v>
      </c>
      <c r="U20" s="1347">
        <f t="shared" si="12"/>
        <v>0</v>
      </c>
      <c r="V20" s="1137">
        <f t="shared" si="4"/>
        <v>0</v>
      </c>
      <c r="W20" s="1347">
        <f t="shared" si="5"/>
        <v>0</v>
      </c>
      <c r="X20" s="1348">
        <f t="shared" si="6"/>
        <v>0</v>
      </c>
      <c r="Y20" s="1348">
        <f t="shared" si="13"/>
        <v>0</v>
      </c>
      <c r="Z20" s="1347">
        <f t="shared" si="14"/>
        <v>0</v>
      </c>
      <c r="AA20" s="1137">
        <f t="shared" si="7"/>
        <v>0</v>
      </c>
      <c r="AB20" s="1347">
        <f t="shared" si="8"/>
        <v>0</v>
      </c>
    </row>
    <row r="21" spans="1:28" s="293" customFormat="1" ht="18.75" hidden="1" customHeight="1">
      <c r="A21" s="1306"/>
      <c r="B21" s="1537"/>
      <c r="C21" s="1643"/>
      <c r="D21" s="1401"/>
      <c r="E21" s="1343"/>
      <c r="F21" s="1537"/>
      <c r="G21" s="1537"/>
      <c r="H21" s="1537"/>
      <c r="I21" s="1352">
        <f t="shared" si="1"/>
        <v>0</v>
      </c>
      <c r="J21" s="1137">
        <f t="shared" si="9"/>
        <v>0</v>
      </c>
      <c r="K21" s="1137">
        <f t="shared" si="10"/>
        <v>0</v>
      </c>
      <c r="L21" s="1348"/>
      <c r="M21" s="1137"/>
      <c r="N21" s="1347"/>
      <c r="O21" s="1349">
        <f t="shared" si="2"/>
        <v>0</v>
      </c>
      <c r="P21" s="1252"/>
      <c r="Q21" s="1252"/>
      <c r="R21" s="1473"/>
      <c r="S21" s="1348">
        <f t="shared" si="3"/>
        <v>0</v>
      </c>
      <c r="T21" s="1348">
        <f t="shared" si="11"/>
        <v>0</v>
      </c>
      <c r="U21" s="1347">
        <f t="shared" si="12"/>
        <v>0</v>
      </c>
      <c r="V21" s="1137">
        <f t="shared" si="4"/>
        <v>0</v>
      </c>
      <c r="W21" s="1347">
        <f t="shared" si="5"/>
        <v>0</v>
      </c>
      <c r="X21" s="1348">
        <f t="shared" si="6"/>
        <v>0</v>
      </c>
      <c r="Y21" s="1348">
        <f t="shared" si="13"/>
        <v>0</v>
      </c>
      <c r="Z21" s="1347">
        <f t="shared" si="14"/>
        <v>0</v>
      </c>
      <c r="AA21" s="1137">
        <f t="shared" si="7"/>
        <v>0</v>
      </c>
      <c r="AB21" s="1347">
        <f t="shared" si="8"/>
        <v>0</v>
      </c>
    </row>
    <row r="22" spans="1:28" s="293" customFormat="1" ht="18.75" hidden="1" customHeight="1">
      <c r="A22" s="1306"/>
      <c r="B22" s="1537"/>
      <c r="C22" s="1643"/>
      <c r="D22" s="1401"/>
      <c r="E22" s="1343"/>
      <c r="F22" s="1537"/>
      <c r="G22" s="1537"/>
      <c r="H22" s="1537"/>
      <c r="I22" s="1352">
        <f t="shared" si="1"/>
        <v>0</v>
      </c>
      <c r="J22" s="1137">
        <f t="shared" si="9"/>
        <v>0</v>
      </c>
      <c r="K22" s="1137">
        <f t="shared" si="10"/>
        <v>0</v>
      </c>
      <c r="L22" s="1348"/>
      <c r="M22" s="1137"/>
      <c r="N22" s="1347"/>
      <c r="O22" s="1349">
        <f t="shared" si="2"/>
        <v>0</v>
      </c>
      <c r="P22" s="1252"/>
      <c r="Q22" s="1252"/>
      <c r="R22" s="1473"/>
      <c r="S22" s="1348">
        <f t="shared" si="3"/>
        <v>0</v>
      </c>
      <c r="T22" s="1348">
        <f t="shared" si="11"/>
        <v>0</v>
      </c>
      <c r="U22" s="1347">
        <f t="shared" si="12"/>
        <v>0</v>
      </c>
      <c r="V22" s="1137">
        <f t="shared" si="4"/>
        <v>0</v>
      </c>
      <c r="W22" s="1347">
        <f t="shared" si="5"/>
        <v>0</v>
      </c>
      <c r="X22" s="1348">
        <f t="shared" si="6"/>
        <v>0</v>
      </c>
      <c r="Y22" s="1348">
        <f t="shared" si="13"/>
        <v>0</v>
      </c>
      <c r="Z22" s="1347">
        <f t="shared" si="14"/>
        <v>0</v>
      </c>
      <c r="AA22" s="1137">
        <f t="shared" si="7"/>
        <v>0</v>
      </c>
      <c r="AB22" s="1347">
        <f t="shared" si="8"/>
        <v>0</v>
      </c>
    </row>
    <row r="23" spans="1:28" s="293" customFormat="1" ht="18.75" hidden="1" customHeight="1">
      <c r="A23" s="1306"/>
      <c r="B23" s="1537"/>
      <c r="C23" s="1643"/>
      <c r="D23" s="1401"/>
      <c r="E23" s="1343"/>
      <c r="F23" s="1537"/>
      <c r="G23" s="1537"/>
      <c r="H23" s="1537"/>
      <c r="I23" s="1352">
        <f t="shared" si="1"/>
        <v>0</v>
      </c>
      <c r="J23" s="1137">
        <f t="shared" si="9"/>
        <v>0</v>
      </c>
      <c r="K23" s="1137">
        <f t="shared" si="10"/>
        <v>0</v>
      </c>
      <c r="L23" s="1348"/>
      <c r="M23" s="1137"/>
      <c r="N23" s="1347"/>
      <c r="O23" s="1349">
        <f t="shared" si="2"/>
        <v>0</v>
      </c>
      <c r="P23" s="1252"/>
      <c r="Q23" s="1252"/>
      <c r="R23" s="1473"/>
      <c r="S23" s="1348">
        <f t="shared" si="3"/>
        <v>0</v>
      </c>
      <c r="T23" s="1348">
        <f t="shared" si="11"/>
        <v>0</v>
      </c>
      <c r="U23" s="1347">
        <f t="shared" si="12"/>
        <v>0</v>
      </c>
      <c r="V23" s="1137">
        <f t="shared" si="4"/>
        <v>0</v>
      </c>
      <c r="W23" s="1347">
        <f t="shared" si="5"/>
        <v>0</v>
      </c>
      <c r="X23" s="1348">
        <f t="shared" si="6"/>
        <v>0</v>
      </c>
      <c r="Y23" s="1348">
        <f t="shared" si="13"/>
        <v>0</v>
      </c>
      <c r="Z23" s="1347">
        <f t="shared" si="14"/>
        <v>0</v>
      </c>
      <c r="AA23" s="1137">
        <f t="shared" si="7"/>
        <v>0</v>
      </c>
      <c r="AB23" s="1347">
        <f t="shared" si="8"/>
        <v>0</v>
      </c>
    </row>
    <row r="24" spans="1:28" s="326" customFormat="1" ht="25.5" customHeight="1">
      <c r="A24" s="1432" t="s">
        <v>1338</v>
      </c>
      <c r="B24" s="1574"/>
      <c r="C24" s="408">
        <f>SUM(C7:C23)/2</f>
        <v>67455000</v>
      </c>
      <c r="D24" s="408">
        <f>SUM(D7:D23)/2</f>
        <v>67455000</v>
      </c>
      <c r="E24" s="408">
        <f>SUM(E7:E23)/2</f>
        <v>0</v>
      </c>
      <c r="F24" s="1442">
        <f>SUM(F7:F23)/2</f>
        <v>0</v>
      </c>
      <c r="G24" s="408">
        <f>SUM(G7:G23)/2</f>
        <v>67455000</v>
      </c>
      <c r="H24" s="1575"/>
      <c r="I24" s="1438">
        <f>SUM(I7:I23)/2</f>
        <v>67455000</v>
      </c>
      <c r="J24" s="1440">
        <f>SUM(J7:J21)/2</f>
        <v>67455000</v>
      </c>
      <c r="K24" s="1442">
        <f>SUM(K7:K21)/2</f>
        <v>0</v>
      </c>
      <c r="L24" s="1438">
        <f t="shared" ref="L24:AB24" si="15">SUM(L7:L23)/2</f>
        <v>0</v>
      </c>
      <c r="M24" s="1437">
        <f t="shared" si="15"/>
        <v>67455000</v>
      </c>
      <c r="N24" s="1439">
        <f t="shared" si="15"/>
        <v>0</v>
      </c>
      <c r="O24" s="1438">
        <f t="shared" si="15"/>
        <v>5814000</v>
      </c>
      <c r="P24" s="1438">
        <f t="shared" si="15"/>
        <v>5814000</v>
      </c>
      <c r="Q24" s="1437">
        <f t="shared" si="15"/>
        <v>0</v>
      </c>
      <c r="R24" s="1439">
        <f t="shared" si="15"/>
        <v>0</v>
      </c>
      <c r="S24" s="1438">
        <f t="shared" si="15"/>
        <v>77269000</v>
      </c>
      <c r="T24" s="1440">
        <f t="shared" si="15"/>
        <v>75283606</v>
      </c>
      <c r="U24" s="1442">
        <f t="shared" si="15"/>
        <v>1985394</v>
      </c>
      <c r="V24" s="1436">
        <f t="shared" si="15"/>
        <v>9814000</v>
      </c>
      <c r="W24" s="1439">
        <f t="shared" si="15"/>
        <v>67455000</v>
      </c>
      <c r="X24" s="1438">
        <f t="shared" si="15"/>
        <v>13056377</v>
      </c>
      <c r="Y24" s="1440">
        <f t="shared" si="15"/>
        <v>13056377</v>
      </c>
      <c r="Z24" s="1442">
        <f t="shared" si="15"/>
        <v>0</v>
      </c>
      <c r="AA24" s="1436">
        <f t="shared" si="15"/>
        <v>13056377</v>
      </c>
      <c r="AB24" s="1439">
        <f t="shared" si="15"/>
        <v>0</v>
      </c>
    </row>
    <row r="25" spans="1:28">
      <c r="I25" s="1137"/>
      <c r="J25" s="1137"/>
      <c r="K25" s="306"/>
      <c r="L25" s="100"/>
      <c r="M25" s="100"/>
      <c r="N25" s="100"/>
    </row>
    <row r="26" spans="1:28">
      <c r="I26" s="1137"/>
      <c r="J26" s="1137"/>
      <c r="K26" s="306"/>
      <c r="L26" s="100"/>
      <c r="M26" s="100"/>
      <c r="N26" s="100"/>
    </row>
    <row r="27" spans="1:28">
      <c r="I27" s="1137"/>
      <c r="J27" s="1137"/>
      <c r="K27" s="306"/>
      <c r="L27" s="100"/>
      <c r="M27" s="100"/>
      <c r="N27" s="100"/>
    </row>
    <row r="28" spans="1:28">
      <c r="I28" s="1137"/>
      <c r="J28" s="1137"/>
      <c r="K28" s="306"/>
      <c r="L28" s="100"/>
      <c r="M28" s="100"/>
      <c r="N28" s="100"/>
    </row>
    <row r="29" spans="1:28">
      <c r="I29" s="1137"/>
      <c r="J29" s="1137"/>
      <c r="K29" s="306"/>
      <c r="L29" s="100"/>
      <c r="M29" s="100"/>
      <c r="N29" s="100"/>
    </row>
    <row r="30" spans="1:28">
      <c r="I30" s="1137"/>
      <c r="J30" s="1137"/>
      <c r="K30" s="306"/>
      <c r="L30" s="100"/>
      <c r="M30" s="100"/>
      <c r="N30" s="100"/>
    </row>
    <row r="31" spans="1:28">
      <c r="I31" s="1137"/>
      <c r="J31" s="1137"/>
      <c r="K31" s="306"/>
      <c r="L31" s="100"/>
      <c r="M31" s="100"/>
      <c r="N31" s="100"/>
    </row>
    <row r="32" spans="1:28">
      <c r="I32" s="1137"/>
      <c r="J32" s="1137"/>
      <c r="K32" s="306"/>
      <c r="L32" s="100"/>
      <c r="M32" s="100"/>
      <c r="N32" s="100"/>
    </row>
    <row r="33" spans="9:14">
      <c r="I33" s="1137"/>
      <c r="J33" s="1137"/>
      <c r="K33" s="306"/>
      <c r="L33" s="100"/>
      <c r="M33" s="100"/>
      <c r="N33" s="100"/>
    </row>
    <row r="34" spans="9:14">
      <c r="I34" s="1137"/>
      <c r="J34" s="1137"/>
      <c r="K34" s="306"/>
      <c r="L34" s="100"/>
      <c r="M34" s="100"/>
      <c r="N34" s="100"/>
    </row>
    <row r="35" spans="9:14">
      <c r="I35" s="1137"/>
      <c r="J35" s="1137"/>
      <c r="K35" s="306"/>
      <c r="L35" s="100"/>
      <c r="M35" s="100"/>
      <c r="N35" s="100"/>
    </row>
    <row r="36" spans="9:14">
      <c r="I36" s="1137"/>
      <c r="J36" s="1137"/>
      <c r="K36" s="306"/>
      <c r="L36" s="100"/>
      <c r="M36" s="100"/>
      <c r="N36" s="100"/>
    </row>
    <row r="37" spans="9:14">
      <c r="I37" s="1137"/>
      <c r="J37" s="1137"/>
      <c r="K37" s="306"/>
      <c r="L37" s="100"/>
      <c r="M37" s="100"/>
      <c r="N37" s="100"/>
    </row>
    <row r="38" spans="9:14">
      <c r="I38" s="1137"/>
      <c r="J38" s="1137"/>
      <c r="K38" s="306"/>
      <c r="L38" s="100"/>
      <c r="M38" s="100"/>
      <c r="N38" s="100"/>
    </row>
    <row r="39" spans="9:14">
      <c r="I39" s="1137"/>
      <c r="J39" s="1137"/>
      <c r="K39" s="306"/>
      <c r="L39" s="100"/>
      <c r="M39" s="100"/>
      <c r="N39" s="100"/>
    </row>
    <row r="40" spans="9:14">
      <c r="I40" s="1137"/>
      <c r="J40" s="1137"/>
      <c r="K40" s="306"/>
      <c r="L40" s="100"/>
      <c r="M40" s="100"/>
      <c r="N40" s="100"/>
    </row>
    <row r="41" spans="9:14">
      <c r="I41" s="1137"/>
      <c r="J41" s="1137"/>
      <c r="K41" s="306"/>
      <c r="L41" s="100"/>
      <c r="M41" s="100"/>
      <c r="N41" s="100"/>
    </row>
    <row r="42" spans="9:14">
      <c r="I42" s="1137"/>
      <c r="J42" s="1137"/>
      <c r="K42" s="306"/>
      <c r="L42" s="100"/>
      <c r="M42" s="100"/>
      <c r="N42" s="100"/>
    </row>
    <row r="43" spans="9:14">
      <c r="I43" s="1137"/>
      <c r="J43" s="1137"/>
      <c r="K43" s="306"/>
      <c r="L43" s="100"/>
      <c r="M43" s="100"/>
      <c r="N43" s="100"/>
    </row>
    <row r="44" spans="9:14">
      <c r="I44" s="1137"/>
      <c r="J44" s="1137"/>
      <c r="K44" s="306"/>
      <c r="L44" s="100"/>
      <c r="M44" s="100"/>
      <c r="N44" s="100"/>
    </row>
    <row r="45" spans="9:14">
      <c r="I45" s="1137"/>
      <c r="J45" s="1137"/>
      <c r="K45" s="306"/>
      <c r="L45" s="100"/>
      <c r="M45" s="100"/>
      <c r="N45" s="100"/>
    </row>
    <row r="46" spans="9:14">
      <c r="I46" s="1137"/>
      <c r="J46" s="1137"/>
      <c r="K46" s="306"/>
      <c r="L46" s="100"/>
      <c r="M46" s="100"/>
      <c r="N46" s="100"/>
    </row>
    <row r="47" spans="9:14">
      <c r="I47" s="1137"/>
      <c r="J47" s="1137"/>
      <c r="K47" s="306"/>
      <c r="L47" s="100"/>
      <c r="M47" s="100"/>
      <c r="N47" s="100"/>
    </row>
    <row r="48" spans="9:14">
      <c r="I48" s="1137"/>
      <c r="J48" s="1137"/>
      <c r="K48" s="306"/>
      <c r="L48" s="100"/>
      <c r="M48" s="100"/>
      <c r="N48" s="100"/>
    </row>
    <row r="49" spans="9:14">
      <c r="I49" s="1137"/>
      <c r="J49" s="1137"/>
      <c r="K49" s="306"/>
      <c r="L49" s="100"/>
      <c r="M49" s="100"/>
      <c r="N49" s="100"/>
    </row>
    <row r="50" spans="9:14">
      <c r="I50" s="1137"/>
      <c r="J50" s="1137"/>
      <c r="K50" s="306"/>
      <c r="L50" s="100"/>
      <c r="M50" s="100"/>
      <c r="N50" s="100"/>
    </row>
    <row r="51" spans="9:14">
      <c r="I51" s="1137"/>
      <c r="J51" s="1137"/>
      <c r="K51" s="306"/>
      <c r="L51" s="100"/>
      <c r="M51" s="100"/>
      <c r="N51" s="100"/>
    </row>
    <row r="52" spans="9:14">
      <c r="I52" s="1137"/>
      <c r="J52" s="1137"/>
      <c r="K52" s="306"/>
      <c r="L52" s="100"/>
      <c r="M52" s="100"/>
      <c r="N52" s="100"/>
    </row>
    <row r="53" spans="9:14">
      <c r="I53" s="1137"/>
      <c r="J53" s="1137"/>
      <c r="K53" s="306"/>
      <c r="L53" s="100"/>
      <c r="M53" s="100"/>
      <c r="N53" s="100"/>
    </row>
    <row r="54" spans="9:14">
      <c r="I54" s="1137"/>
      <c r="J54" s="1137"/>
      <c r="K54" s="306"/>
      <c r="L54" s="100"/>
      <c r="M54" s="100"/>
      <c r="N54" s="100"/>
    </row>
    <row r="55" spans="9:14">
      <c r="I55" s="1137"/>
      <c r="J55" s="1137"/>
      <c r="K55" s="306"/>
      <c r="L55" s="100"/>
      <c r="M55" s="100"/>
      <c r="N55" s="100"/>
    </row>
    <row r="56" spans="9:14">
      <c r="I56" s="1137"/>
      <c r="J56" s="1137"/>
      <c r="K56" s="306"/>
      <c r="L56" s="100"/>
      <c r="M56" s="100"/>
      <c r="N56" s="100"/>
    </row>
    <row r="57" spans="9:14">
      <c r="I57" s="1137"/>
      <c r="J57" s="1137"/>
      <c r="K57" s="306"/>
      <c r="L57" s="100"/>
      <c r="M57" s="100"/>
      <c r="N57" s="100"/>
    </row>
    <row r="58" spans="9:14">
      <c r="I58" s="1137"/>
      <c r="J58" s="1137"/>
      <c r="K58" s="306"/>
      <c r="L58" s="100"/>
      <c r="M58" s="100"/>
      <c r="N58" s="100"/>
    </row>
    <row r="59" spans="9:14">
      <c r="I59" s="1137"/>
      <c r="J59" s="1137"/>
      <c r="K59" s="306"/>
      <c r="L59" s="100"/>
      <c r="M59" s="100"/>
      <c r="N59" s="100"/>
    </row>
    <row r="60" spans="9:14">
      <c r="I60" s="1137"/>
      <c r="J60" s="1137"/>
      <c r="K60" s="306"/>
      <c r="L60" s="100"/>
      <c r="M60" s="100"/>
      <c r="N60" s="100"/>
    </row>
    <row r="61" spans="9:14">
      <c r="I61" s="1137"/>
      <c r="J61" s="1137"/>
      <c r="K61" s="306"/>
      <c r="L61" s="100"/>
      <c r="M61" s="100"/>
      <c r="N61" s="100"/>
    </row>
    <row r="62" spans="9:14">
      <c r="I62" s="1137"/>
      <c r="J62" s="1137"/>
      <c r="K62" s="306"/>
      <c r="L62" s="100"/>
      <c r="M62" s="100"/>
      <c r="N62" s="100"/>
    </row>
    <row r="63" spans="9:14">
      <c r="I63" s="1137"/>
      <c r="J63" s="1137"/>
      <c r="K63" s="306"/>
      <c r="L63" s="100"/>
      <c r="M63" s="100"/>
      <c r="N63" s="100"/>
    </row>
    <row r="64" spans="9:14">
      <c r="I64" s="1137"/>
      <c r="J64" s="1137"/>
      <c r="K64" s="306"/>
      <c r="L64" s="100"/>
      <c r="M64" s="100"/>
      <c r="N64" s="100"/>
    </row>
    <row r="65" spans="9:14">
      <c r="I65" s="1137"/>
      <c r="J65" s="1137"/>
      <c r="K65" s="306"/>
      <c r="L65" s="100"/>
      <c r="M65" s="100"/>
      <c r="N65" s="100"/>
    </row>
    <row r="66" spans="9:14">
      <c r="I66" s="1137"/>
      <c r="J66" s="1137"/>
      <c r="K66" s="306"/>
      <c r="L66" s="100"/>
      <c r="M66" s="100"/>
      <c r="N66" s="100"/>
    </row>
    <row r="67" spans="9:14">
      <c r="I67" s="1137"/>
      <c r="J67" s="1137"/>
      <c r="K67" s="306"/>
      <c r="L67" s="100"/>
      <c r="M67" s="100"/>
      <c r="N67" s="100"/>
    </row>
    <row r="68" spans="9:14">
      <c r="I68" s="1137"/>
      <c r="J68" s="1137"/>
      <c r="K68" s="306"/>
      <c r="L68" s="100"/>
      <c r="M68" s="100"/>
      <c r="N68" s="100"/>
    </row>
    <row r="69" spans="9:14">
      <c r="I69" s="1137"/>
      <c r="J69" s="1137"/>
      <c r="K69" s="306"/>
      <c r="L69" s="100"/>
      <c r="M69" s="100"/>
      <c r="N69" s="100"/>
    </row>
    <row r="70" spans="9:14">
      <c r="I70" s="1137"/>
      <c r="J70" s="1137"/>
      <c r="K70" s="306"/>
      <c r="L70" s="100"/>
      <c r="M70" s="100"/>
      <c r="N70" s="100"/>
    </row>
    <row r="71" spans="9:14">
      <c r="I71" s="1137"/>
      <c r="J71" s="1137"/>
      <c r="K71" s="306"/>
      <c r="L71" s="100"/>
      <c r="M71" s="100"/>
      <c r="N71" s="100"/>
    </row>
    <row r="72" spans="9:14">
      <c r="I72" s="1137"/>
      <c r="J72" s="1137"/>
      <c r="K72" s="306"/>
      <c r="L72" s="100"/>
      <c r="M72" s="100"/>
      <c r="N72" s="100"/>
    </row>
    <row r="73" spans="9:14">
      <c r="I73" s="1137"/>
      <c r="J73" s="1137"/>
      <c r="K73" s="306"/>
      <c r="L73" s="100"/>
      <c r="M73" s="100"/>
      <c r="N73" s="100"/>
    </row>
    <row r="74" spans="9:14">
      <c r="I74" s="1137"/>
      <c r="J74" s="1137"/>
      <c r="K74" s="306"/>
      <c r="L74" s="100"/>
      <c r="M74" s="100"/>
      <c r="N74" s="100"/>
    </row>
    <row r="75" spans="9:14">
      <c r="I75" s="1137"/>
      <c r="J75" s="1137"/>
      <c r="K75" s="306"/>
      <c r="L75" s="100"/>
      <c r="M75" s="100"/>
      <c r="N75" s="100"/>
    </row>
    <row r="76" spans="9:14">
      <c r="I76" s="1137"/>
      <c r="J76" s="1137"/>
      <c r="K76" s="306"/>
      <c r="L76" s="100"/>
      <c r="M76" s="100"/>
      <c r="N76" s="100"/>
    </row>
    <row r="77" spans="9:14">
      <c r="I77" s="1137"/>
      <c r="J77" s="1137"/>
      <c r="K77" s="306"/>
      <c r="L77" s="100"/>
      <c r="M77" s="100"/>
      <c r="N77" s="100"/>
    </row>
    <row r="78" spans="9:14">
      <c r="I78" s="1137"/>
      <c r="J78" s="1137"/>
      <c r="K78" s="306"/>
      <c r="L78" s="100"/>
      <c r="M78" s="100"/>
      <c r="N78" s="100"/>
    </row>
    <row r="79" spans="9:14">
      <c r="I79" s="1137"/>
      <c r="J79" s="1137"/>
      <c r="K79" s="306"/>
      <c r="L79" s="100"/>
      <c r="M79" s="100"/>
      <c r="N79" s="100"/>
    </row>
    <row r="80" spans="9:14">
      <c r="I80" s="1137"/>
      <c r="J80" s="1137"/>
      <c r="K80" s="306"/>
      <c r="L80" s="100"/>
      <c r="M80" s="100"/>
      <c r="N80" s="100"/>
    </row>
    <row r="81" spans="9:14">
      <c r="I81" s="1137"/>
      <c r="J81" s="1137"/>
      <c r="K81" s="306"/>
      <c r="L81" s="100"/>
      <c r="M81" s="100"/>
      <c r="N81" s="100"/>
    </row>
    <row r="82" spans="9:14">
      <c r="I82" s="1137"/>
      <c r="J82" s="1137"/>
      <c r="K82" s="306"/>
      <c r="L82" s="100"/>
      <c r="M82" s="100"/>
      <c r="N82" s="100"/>
    </row>
    <row r="83" spans="9:14">
      <c r="I83" s="1137"/>
      <c r="J83" s="1137"/>
      <c r="K83" s="306"/>
      <c r="L83" s="100"/>
      <c r="M83" s="100"/>
      <c r="N83" s="100"/>
    </row>
    <row r="84" spans="9:14">
      <c r="I84" s="1137"/>
      <c r="J84" s="1137"/>
      <c r="K84" s="306"/>
      <c r="L84" s="100"/>
      <c r="M84" s="100"/>
      <c r="N84" s="100"/>
    </row>
    <row r="85" spans="9:14">
      <c r="I85" s="1137"/>
      <c r="J85" s="1137"/>
      <c r="K85" s="306"/>
      <c r="L85" s="100"/>
      <c r="M85" s="100"/>
      <c r="N85" s="100"/>
    </row>
    <row r="86" spans="9:14">
      <c r="I86" s="1137"/>
      <c r="J86" s="1137"/>
      <c r="K86" s="306"/>
      <c r="L86" s="100"/>
      <c r="M86" s="100"/>
      <c r="N86" s="100"/>
    </row>
    <row r="87" spans="9:14">
      <c r="I87" s="1137"/>
      <c r="J87" s="1137"/>
      <c r="K87" s="306"/>
      <c r="L87" s="100"/>
      <c r="M87" s="100"/>
      <c r="N87" s="100"/>
    </row>
    <row r="88" spans="9:14">
      <c r="I88" s="1137"/>
      <c r="J88" s="1137"/>
      <c r="K88" s="306"/>
      <c r="L88" s="100"/>
      <c r="M88" s="100"/>
      <c r="N88" s="100"/>
    </row>
    <row r="89" spans="9:14">
      <c r="I89" s="1137"/>
      <c r="J89" s="1137"/>
      <c r="K89" s="306"/>
      <c r="L89" s="100"/>
      <c r="M89" s="100"/>
      <c r="N89" s="100"/>
    </row>
    <row r="90" spans="9:14">
      <c r="I90" s="1137"/>
      <c r="J90" s="1137"/>
      <c r="K90" s="306"/>
      <c r="L90" s="100"/>
      <c r="M90" s="100"/>
      <c r="N90" s="100"/>
    </row>
    <row r="91" spans="9:14">
      <c r="I91" s="1137"/>
      <c r="J91" s="1137"/>
      <c r="K91" s="306"/>
      <c r="L91" s="100"/>
      <c r="M91" s="100"/>
      <c r="N91" s="100"/>
    </row>
    <row r="92" spans="9:14">
      <c r="I92" s="1137"/>
      <c r="J92" s="1137"/>
      <c r="K92" s="306"/>
      <c r="L92" s="100"/>
      <c r="M92" s="100"/>
      <c r="N92" s="100"/>
    </row>
    <row r="93" spans="9:14">
      <c r="I93" s="1137"/>
      <c r="J93" s="1137"/>
      <c r="K93" s="306"/>
      <c r="L93" s="100"/>
      <c r="M93" s="100"/>
      <c r="N93" s="100"/>
    </row>
    <row r="94" spans="9:14">
      <c r="I94" s="1137"/>
      <c r="J94" s="1137"/>
      <c r="K94" s="306"/>
      <c r="L94" s="100"/>
      <c r="M94" s="100"/>
      <c r="N94" s="100"/>
    </row>
    <row r="95" spans="9:14">
      <c r="I95" s="1137"/>
      <c r="J95" s="1137"/>
      <c r="K95" s="306"/>
      <c r="L95" s="100"/>
      <c r="M95" s="100"/>
      <c r="N95" s="100"/>
    </row>
    <row r="96" spans="9:14">
      <c r="I96" s="1137"/>
      <c r="J96" s="1137"/>
      <c r="K96" s="306"/>
      <c r="L96" s="100"/>
      <c r="M96" s="100"/>
      <c r="N96" s="100"/>
    </row>
    <row r="97" spans="9:14">
      <c r="I97" s="1137"/>
      <c r="J97" s="1137"/>
      <c r="K97" s="306"/>
      <c r="L97" s="100"/>
      <c r="M97" s="100"/>
      <c r="N97" s="100"/>
    </row>
    <row r="98" spans="9:14">
      <c r="I98" s="1137"/>
      <c r="J98" s="1137"/>
      <c r="K98" s="306"/>
      <c r="L98" s="100"/>
      <c r="M98" s="100"/>
      <c r="N98" s="100"/>
    </row>
    <row r="99" spans="9:14">
      <c r="I99" s="1137"/>
      <c r="J99" s="1137"/>
      <c r="K99" s="306"/>
      <c r="L99" s="100"/>
      <c r="M99" s="100"/>
      <c r="N99" s="100"/>
    </row>
    <row r="100" spans="9:14">
      <c r="I100" s="1137"/>
      <c r="J100" s="1137"/>
      <c r="K100" s="306"/>
      <c r="L100" s="100"/>
      <c r="M100" s="100"/>
      <c r="N100" s="100"/>
    </row>
    <row r="101" spans="9:14">
      <c r="I101" s="1137"/>
      <c r="J101" s="1137"/>
      <c r="K101" s="306"/>
      <c r="L101" s="100"/>
      <c r="M101" s="100"/>
      <c r="N101" s="100"/>
    </row>
    <row r="102" spans="9:14">
      <c r="I102" s="1137"/>
      <c r="J102" s="1137"/>
      <c r="K102" s="306"/>
      <c r="L102" s="100"/>
      <c r="M102" s="100"/>
      <c r="N102" s="100"/>
    </row>
    <row r="103" spans="9:14">
      <c r="I103" s="1137"/>
      <c r="J103" s="1137"/>
      <c r="K103" s="306"/>
      <c r="L103" s="100"/>
      <c r="M103" s="100"/>
      <c r="N103" s="100"/>
    </row>
    <row r="104" spans="9:14">
      <c r="I104" s="1137"/>
      <c r="J104" s="1137"/>
      <c r="K104" s="306"/>
      <c r="L104" s="100"/>
      <c r="M104" s="100"/>
      <c r="N104" s="100"/>
    </row>
    <row r="105" spans="9:14">
      <c r="I105" s="1137"/>
      <c r="J105" s="1137"/>
      <c r="K105" s="306"/>
      <c r="L105" s="100"/>
      <c r="M105" s="100"/>
      <c r="N105" s="100"/>
    </row>
    <row r="106" spans="9:14">
      <c r="I106" s="1137"/>
      <c r="J106" s="1137"/>
      <c r="K106" s="306"/>
      <c r="L106" s="100"/>
      <c r="M106" s="100"/>
      <c r="N106" s="100"/>
    </row>
    <row r="107" spans="9:14">
      <c r="I107" s="1137"/>
      <c r="J107" s="1137"/>
      <c r="K107" s="306"/>
      <c r="L107" s="100"/>
      <c r="M107" s="100"/>
      <c r="N107" s="100"/>
    </row>
    <row r="108" spans="9:14">
      <c r="I108" s="1137"/>
      <c r="J108" s="1137"/>
      <c r="K108" s="306"/>
      <c r="L108" s="100"/>
      <c r="M108" s="100"/>
      <c r="N108" s="100"/>
    </row>
    <row r="109" spans="9:14">
      <c r="I109" s="1137"/>
      <c r="J109" s="1137"/>
      <c r="K109" s="306"/>
      <c r="L109" s="100"/>
      <c r="M109" s="100"/>
      <c r="N109" s="100"/>
    </row>
    <row r="110" spans="9:14">
      <c r="I110" s="1137"/>
      <c r="J110" s="1137"/>
      <c r="K110" s="306"/>
      <c r="L110" s="100"/>
      <c r="M110" s="100"/>
      <c r="N110" s="100"/>
    </row>
    <row r="111" spans="9:14">
      <c r="I111" s="1137"/>
      <c r="J111" s="1137"/>
      <c r="K111" s="306"/>
      <c r="L111" s="100"/>
      <c r="M111" s="100"/>
      <c r="N111" s="100"/>
    </row>
    <row r="112" spans="9:14">
      <c r="I112" s="1137"/>
      <c r="J112" s="1137"/>
      <c r="K112" s="306"/>
      <c r="L112" s="100"/>
      <c r="M112" s="100"/>
      <c r="N112" s="100"/>
    </row>
    <row r="113" spans="9:14">
      <c r="I113" s="1137"/>
      <c r="J113" s="1137"/>
      <c r="K113" s="306"/>
      <c r="L113" s="100"/>
      <c r="M113" s="100"/>
      <c r="N113" s="100"/>
    </row>
    <row r="114" spans="9:14">
      <c r="I114" s="1137"/>
      <c r="J114" s="1137"/>
      <c r="K114" s="306"/>
      <c r="L114" s="100"/>
      <c r="M114" s="100"/>
      <c r="N114" s="100"/>
    </row>
    <row r="115" spans="9:14">
      <c r="I115" s="1137"/>
      <c r="J115" s="1137"/>
      <c r="K115" s="306"/>
      <c r="L115" s="100"/>
      <c r="M115" s="100"/>
      <c r="N115" s="100"/>
    </row>
    <row r="116" spans="9:14">
      <c r="I116" s="1137"/>
      <c r="J116" s="1137"/>
      <c r="K116" s="306"/>
      <c r="L116" s="100"/>
      <c r="M116" s="100"/>
      <c r="N116" s="100"/>
    </row>
    <row r="117" spans="9:14">
      <c r="I117" s="1137"/>
      <c r="J117" s="1137"/>
      <c r="K117" s="306"/>
      <c r="L117" s="100"/>
      <c r="M117" s="100"/>
      <c r="N117" s="100"/>
    </row>
    <row r="118" spans="9:14">
      <c r="I118" s="1137"/>
      <c r="J118" s="1137"/>
      <c r="K118" s="306"/>
      <c r="L118" s="100"/>
      <c r="M118" s="100"/>
      <c r="N118" s="100"/>
    </row>
    <row r="119" spans="9:14">
      <c r="I119" s="1137"/>
      <c r="J119" s="1137"/>
      <c r="K119" s="306"/>
      <c r="L119" s="100"/>
      <c r="M119" s="100"/>
      <c r="N119" s="100"/>
    </row>
    <row r="120" spans="9:14">
      <c r="I120" s="1137"/>
      <c r="J120" s="1137"/>
      <c r="K120" s="306"/>
      <c r="L120" s="100"/>
      <c r="M120" s="100"/>
      <c r="N120" s="100"/>
    </row>
    <row r="121" spans="9:14">
      <c r="I121" s="1137"/>
      <c r="J121" s="1137"/>
      <c r="K121" s="306"/>
      <c r="L121" s="100"/>
      <c r="M121" s="100"/>
      <c r="N121" s="100"/>
    </row>
    <row r="122" spans="9:14">
      <c r="I122" s="1137"/>
      <c r="J122" s="1137"/>
      <c r="K122" s="306"/>
      <c r="L122" s="100"/>
      <c r="M122" s="100"/>
      <c r="N122" s="100"/>
    </row>
    <row r="123" spans="9:14">
      <c r="I123" s="1137"/>
      <c r="J123" s="1137"/>
      <c r="K123" s="306"/>
      <c r="L123" s="100"/>
      <c r="M123" s="100"/>
      <c r="N123" s="100"/>
    </row>
    <row r="124" spans="9:14">
      <c r="I124" s="1137"/>
      <c r="J124" s="1137"/>
      <c r="K124" s="306"/>
      <c r="L124" s="100"/>
      <c r="M124" s="100"/>
      <c r="N124" s="100"/>
    </row>
    <row r="125" spans="9:14">
      <c r="I125" s="1137"/>
      <c r="J125" s="1137"/>
      <c r="K125" s="306"/>
      <c r="L125" s="100"/>
      <c r="M125" s="100"/>
      <c r="N125" s="100"/>
    </row>
    <row r="126" spans="9:14">
      <c r="I126" s="1137"/>
      <c r="J126" s="1137"/>
      <c r="K126" s="306"/>
      <c r="L126" s="100"/>
      <c r="M126" s="100"/>
      <c r="N126" s="100"/>
    </row>
    <row r="127" spans="9:14">
      <c r="I127" s="1137"/>
      <c r="J127" s="1137"/>
      <c r="K127" s="306"/>
      <c r="L127" s="100"/>
      <c r="M127" s="100"/>
      <c r="N127" s="100"/>
    </row>
    <row r="128" spans="9:14">
      <c r="I128" s="1137"/>
      <c r="J128" s="1137"/>
      <c r="K128" s="306"/>
      <c r="L128" s="100"/>
      <c r="M128" s="100"/>
      <c r="N128" s="100"/>
    </row>
    <row r="129" spans="9:14">
      <c r="I129" s="1137"/>
      <c r="J129" s="1137"/>
      <c r="K129" s="306"/>
      <c r="L129" s="100"/>
      <c r="M129" s="100"/>
      <c r="N129" s="100"/>
    </row>
    <row r="130" spans="9:14">
      <c r="I130" s="1137"/>
      <c r="J130" s="1137"/>
      <c r="K130" s="306"/>
      <c r="L130" s="100"/>
      <c r="M130" s="100"/>
      <c r="N130" s="100"/>
    </row>
    <row r="131" spans="9:14">
      <c r="I131" s="1137"/>
      <c r="J131" s="1137"/>
      <c r="K131" s="306"/>
      <c r="L131" s="100"/>
      <c r="M131" s="100"/>
      <c r="N131" s="100"/>
    </row>
    <row r="132" spans="9:14">
      <c r="I132" s="1137"/>
      <c r="J132" s="1137"/>
      <c r="K132" s="306"/>
      <c r="L132" s="100"/>
      <c r="M132" s="100"/>
      <c r="N132" s="100"/>
    </row>
    <row r="133" spans="9:14">
      <c r="I133" s="1137"/>
      <c r="J133" s="1137"/>
      <c r="K133" s="306"/>
      <c r="L133" s="100"/>
      <c r="M133" s="100"/>
      <c r="N133" s="100"/>
    </row>
    <row r="134" spans="9:14">
      <c r="I134" s="1137"/>
      <c r="J134" s="1137"/>
      <c r="K134" s="306"/>
      <c r="L134" s="100"/>
      <c r="M134" s="100"/>
      <c r="N134" s="100"/>
    </row>
    <row r="135" spans="9:14">
      <c r="I135" s="1137"/>
      <c r="J135" s="1137"/>
      <c r="K135" s="306"/>
      <c r="L135" s="100"/>
      <c r="M135" s="100"/>
      <c r="N135" s="100"/>
    </row>
    <row r="136" spans="9:14">
      <c r="I136" s="1137"/>
      <c r="J136" s="1137"/>
      <c r="K136" s="306"/>
      <c r="L136" s="100"/>
      <c r="M136" s="100"/>
      <c r="N136" s="100"/>
    </row>
    <row r="137" spans="9:14">
      <c r="I137" s="1137"/>
      <c r="J137" s="1137"/>
      <c r="K137" s="306"/>
      <c r="L137" s="100"/>
      <c r="M137" s="100"/>
      <c r="N137" s="100"/>
    </row>
    <row r="138" spans="9:14">
      <c r="I138" s="1137"/>
      <c r="J138" s="1137"/>
      <c r="K138" s="306"/>
      <c r="L138" s="100"/>
      <c r="M138" s="100"/>
      <c r="N138" s="100"/>
    </row>
    <row r="139" spans="9:14">
      <c r="I139" s="1137"/>
      <c r="J139" s="1137"/>
      <c r="K139" s="306"/>
      <c r="L139" s="100"/>
      <c r="M139" s="100"/>
      <c r="N139" s="100"/>
    </row>
    <row r="140" spans="9:14">
      <c r="I140" s="1137"/>
      <c r="J140" s="1137"/>
      <c r="K140" s="306"/>
      <c r="L140" s="100"/>
      <c r="M140" s="100"/>
      <c r="N140" s="100"/>
    </row>
    <row r="141" spans="9:14">
      <c r="I141" s="1137"/>
      <c r="J141" s="1137"/>
      <c r="K141" s="306"/>
      <c r="L141" s="100"/>
      <c r="M141" s="100"/>
      <c r="N141" s="100"/>
    </row>
    <row r="142" spans="9:14">
      <c r="I142" s="1137"/>
      <c r="J142" s="1137"/>
      <c r="K142" s="306"/>
      <c r="L142" s="100"/>
      <c r="M142" s="100"/>
      <c r="N142" s="100"/>
    </row>
    <row r="143" spans="9:14">
      <c r="I143" s="1137"/>
      <c r="J143" s="1137"/>
      <c r="K143" s="306"/>
      <c r="L143" s="100"/>
      <c r="M143" s="100"/>
      <c r="N143" s="100"/>
    </row>
    <row r="144" spans="9:14">
      <c r="I144" s="1137"/>
      <c r="J144" s="1137"/>
      <c r="K144" s="306"/>
      <c r="L144" s="100"/>
      <c r="M144" s="100"/>
      <c r="N144" s="100"/>
    </row>
    <row r="145" spans="9:14">
      <c r="I145" s="1137"/>
      <c r="J145" s="1137"/>
      <c r="K145" s="306"/>
      <c r="L145" s="100"/>
      <c r="M145" s="100"/>
      <c r="N145" s="100"/>
    </row>
    <row r="146" spans="9:14">
      <c r="I146" s="1137"/>
      <c r="J146" s="1137"/>
      <c r="K146" s="306"/>
      <c r="L146" s="100"/>
      <c r="M146" s="100"/>
      <c r="N146" s="100"/>
    </row>
    <row r="147" spans="9:14">
      <c r="I147" s="1137"/>
      <c r="J147" s="1137"/>
      <c r="K147" s="306"/>
      <c r="L147" s="100"/>
      <c r="M147" s="100"/>
      <c r="N147" s="100"/>
    </row>
    <row r="148" spans="9:14">
      <c r="I148" s="1137"/>
      <c r="J148" s="1137"/>
      <c r="K148" s="306"/>
      <c r="L148" s="100"/>
      <c r="M148" s="100"/>
      <c r="N148" s="100"/>
    </row>
    <row r="149" spans="9:14">
      <c r="I149" s="1137"/>
      <c r="J149" s="1137"/>
      <c r="K149" s="306"/>
      <c r="L149" s="100"/>
      <c r="M149" s="100"/>
      <c r="N149" s="100"/>
    </row>
    <row r="150" spans="9:14">
      <c r="I150" s="1137"/>
      <c r="J150" s="1137"/>
      <c r="K150" s="306"/>
      <c r="L150" s="100"/>
      <c r="M150" s="100"/>
      <c r="N150" s="100"/>
    </row>
    <row r="151" spans="9:14">
      <c r="I151" s="1137"/>
      <c r="J151" s="1137"/>
      <c r="K151" s="306"/>
      <c r="L151" s="100"/>
      <c r="M151" s="100"/>
      <c r="N151" s="100"/>
    </row>
    <row r="152" spans="9:14">
      <c r="I152" s="1137"/>
      <c r="J152" s="1137"/>
      <c r="K152" s="306"/>
      <c r="L152" s="100"/>
      <c r="M152" s="100"/>
      <c r="N152" s="100"/>
    </row>
  </sheetData>
  <sheetProtection selectLockedCells="1" selectUnlockedCells="1"/>
  <mergeCells count="16">
    <mergeCell ref="A1:AB1"/>
    <mergeCell ref="A3:B5"/>
    <mergeCell ref="C3:H3"/>
    <mergeCell ref="I3:N3"/>
    <mergeCell ref="O3:R3"/>
    <mergeCell ref="S3:W3"/>
    <mergeCell ref="X3:AB3"/>
    <mergeCell ref="C4:E4"/>
    <mergeCell ref="F4:H4"/>
    <mergeCell ref="I4:K4"/>
    <mergeCell ref="L4:N4"/>
    <mergeCell ref="O4:R4"/>
    <mergeCell ref="S4:U4"/>
    <mergeCell ref="V4:W4"/>
    <mergeCell ref="X4:Z4"/>
    <mergeCell ref="AA4:AB4"/>
  </mergeCells>
  <printOptions horizontalCentered="1"/>
  <pageMargins left="0.43307086614173229" right="0.39370078740157483" top="0.51181102362204722" bottom="0.27559055118110237" header="0.15748031496062992" footer="0.51181102362204722"/>
  <pageSetup paperSize="9" scale="56" firstPageNumber="0" orientation="landscape" horizontalDpi="300" verticalDpi="300" r:id="rId1"/>
  <headerFooter alignWithMargins="0">
    <oddHeader>&amp;R&amp;8 &amp;"Times New Roman,Normál"7. m. a 2016. évi költségvetésről szóló 5/2016. (II.29.) önkormányzati rendelet végrehajtásáról szóló 11/2017. (V.3.)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view="pageBreakPreview" workbookViewId="0"/>
  </sheetViews>
  <sheetFormatPr defaultRowHeight="12.7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T74"/>
  <sheetViews>
    <sheetView topLeftCell="A3" zoomScaleNormal="100" zoomScaleSheetLayoutView="100" workbookViewId="0">
      <pane xSplit="2" ySplit="5" topLeftCell="C20" activePane="bottomRight" state="frozen"/>
      <selection activeCell="A3" sqref="A3"/>
      <selection pane="topRight" activeCell="C3" sqref="C3"/>
      <selection pane="bottomLeft" activeCell="A44" sqref="A44"/>
      <selection pane="bottomRight" activeCell="F40" sqref="F40"/>
    </sheetView>
  </sheetViews>
  <sheetFormatPr defaultRowHeight="12.75"/>
  <cols>
    <col min="1" max="1" width="58.7109375" style="97" customWidth="1"/>
    <col min="2" max="2" width="15.5703125" style="97" customWidth="1"/>
    <col min="3" max="3" width="0" style="98" hidden="1" customWidth="1"/>
    <col min="4" max="4" width="0" style="2" hidden="1" customWidth="1"/>
    <col min="5" max="5" width="15.5703125" style="2" customWidth="1"/>
    <col min="6" max="6" width="14.28515625" style="2" customWidth="1"/>
    <col min="7" max="7" width="10.42578125" style="2" customWidth="1"/>
    <col min="8" max="8" width="15.85546875" style="2" customWidth="1"/>
    <col min="9" max="10" width="0" style="99" hidden="1" customWidth="1"/>
    <col min="11" max="11" width="16.5703125" style="2" customWidth="1"/>
    <col min="12" max="12" width="15.7109375" style="2" customWidth="1"/>
    <col min="13" max="13" width="16.140625" style="2" customWidth="1"/>
    <col min="14" max="14" width="15.85546875" style="2" customWidth="1"/>
    <col min="15" max="15" width="0" style="2" hidden="1" customWidth="1"/>
    <col min="16" max="16" width="0" style="1" hidden="1" customWidth="1"/>
    <col min="17" max="17" width="16.5703125" style="3" customWidth="1"/>
    <col min="18" max="18" width="15.5703125" style="100" customWidth="1"/>
    <col min="19" max="19" width="11.42578125" style="2" customWidth="1"/>
    <col min="20" max="16384" width="9.140625" style="101"/>
  </cols>
  <sheetData>
    <row r="1" spans="1:19" ht="12.75" hidden="1" customHeight="1">
      <c r="I1" s="102"/>
      <c r="J1" s="102"/>
      <c r="K1" s="103"/>
      <c r="L1" s="103"/>
      <c r="M1" s="103"/>
      <c r="N1" s="103"/>
      <c r="O1" s="103"/>
      <c r="S1" s="103"/>
    </row>
    <row r="2" spans="1:19" ht="12.75" hidden="1" customHeight="1">
      <c r="I2" s="102"/>
      <c r="J2" s="102"/>
      <c r="K2" s="103"/>
      <c r="L2" s="103"/>
      <c r="M2" s="103"/>
      <c r="N2" s="103"/>
      <c r="O2" s="103"/>
      <c r="S2" s="103"/>
    </row>
    <row r="3" spans="1:19" ht="18" customHeight="1">
      <c r="A3" s="1700" t="s">
        <v>1355</v>
      </c>
      <c r="B3" s="1700"/>
      <c r="C3" s="1700"/>
      <c r="D3" s="1700"/>
      <c r="E3" s="1700"/>
      <c r="F3" s="1700"/>
      <c r="G3" s="1700"/>
      <c r="H3" s="1700"/>
      <c r="I3" s="1700"/>
      <c r="J3" s="1700"/>
      <c r="K3" s="1700"/>
      <c r="L3" s="1700"/>
      <c r="M3" s="1700"/>
      <c r="N3" s="1700"/>
      <c r="O3" s="1700"/>
      <c r="P3" s="1700"/>
      <c r="Q3" s="1700"/>
      <c r="R3" s="1700"/>
      <c r="S3" s="1700"/>
    </row>
    <row r="4" spans="1:19" ht="13.5" customHeight="1" thickBot="1">
      <c r="A4" s="104"/>
      <c r="B4" s="104"/>
      <c r="C4" s="105"/>
      <c r="D4" s="106"/>
      <c r="E4" s="106"/>
      <c r="F4" s="106"/>
      <c r="G4" s="106"/>
      <c r="H4" s="106"/>
      <c r="I4" s="107"/>
      <c r="J4" s="107"/>
      <c r="K4" s="106"/>
      <c r="L4" s="106"/>
      <c r="M4" s="106"/>
      <c r="N4" s="106"/>
      <c r="O4" s="106"/>
      <c r="P4" s="1702"/>
      <c r="Q4" s="1702"/>
      <c r="R4" s="9"/>
      <c r="S4" s="9" t="s">
        <v>0</v>
      </c>
    </row>
    <row r="5" spans="1:19" s="110" customFormat="1" ht="21" customHeight="1" thickBot="1">
      <c r="A5" s="108" t="s">
        <v>68</v>
      </c>
      <c r="B5" s="1703" t="s">
        <v>69</v>
      </c>
      <c r="C5" s="1703"/>
      <c r="D5" s="1703"/>
      <c r="E5" s="1703"/>
      <c r="F5" s="1703"/>
      <c r="G5" s="1703"/>
      <c r="H5" s="1704" t="s">
        <v>70</v>
      </c>
      <c r="I5" s="1704"/>
      <c r="J5" s="1704"/>
      <c r="K5" s="1704"/>
      <c r="L5" s="1704"/>
      <c r="M5" s="1704"/>
      <c r="N5" s="1704" t="s">
        <v>71</v>
      </c>
      <c r="O5" s="1704"/>
      <c r="P5" s="1704"/>
      <c r="Q5" s="1704"/>
      <c r="R5" s="1704"/>
      <c r="S5" s="1704"/>
    </row>
    <row r="6" spans="1:19" s="110" customFormat="1" ht="15.75" hidden="1" customHeight="1">
      <c r="A6" s="111"/>
      <c r="B6" s="112"/>
      <c r="C6" s="1701"/>
      <c r="D6" s="1701"/>
      <c r="E6" s="1701"/>
      <c r="F6" s="113"/>
      <c r="G6" s="114"/>
      <c r="H6" s="114"/>
      <c r="I6" s="1701"/>
      <c r="J6" s="1701"/>
      <c r="K6" s="1701"/>
      <c r="L6" s="114"/>
      <c r="M6" s="114"/>
      <c r="N6" s="115"/>
      <c r="O6" s="1701"/>
      <c r="P6" s="1701"/>
      <c r="Q6" s="1701"/>
      <c r="R6" s="116"/>
      <c r="S6" s="114"/>
    </row>
    <row r="7" spans="1:19" s="110" customFormat="1" ht="48" thickBot="1">
      <c r="A7" s="109" t="s">
        <v>72</v>
      </c>
      <c r="B7" s="11" t="s">
        <v>2</v>
      </c>
      <c r="C7" s="11" t="s">
        <v>3</v>
      </c>
      <c r="D7" s="12" t="s">
        <v>4</v>
      </c>
      <c r="E7" s="11" t="s">
        <v>5</v>
      </c>
      <c r="F7" s="12" t="s">
        <v>6</v>
      </c>
      <c r="G7" s="12" t="s">
        <v>73</v>
      </c>
      <c r="H7" s="11" t="s">
        <v>2</v>
      </c>
      <c r="I7" s="11" t="s">
        <v>3</v>
      </c>
      <c r="J7" s="12" t="s">
        <v>4</v>
      </c>
      <c r="K7" s="11" t="s">
        <v>5</v>
      </c>
      <c r="L7" s="12" t="s">
        <v>6</v>
      </c>
      <c r="M7" s="12" t="s">
        <v>73</v>
      </c>
      <c r="N7" s="11" t="s">
        <v>2</v>
      </c>
      <c r="O7" s="11" t="s">
        <v>3</v>
      </c>
      <c r="P7" s="12" t="s">
        <v>4</v>
      </c>
      <c r="Q7" s="11" t="s">
        <v>5</v>
      </c>
      <c r="R7" s="12" t="s">
        <v>6</v>
      </c>
      <c r="S7" s="12" t="s">
        <v>73</v>
      </c>
    </row>
    <row r="8" spans="1:19" s="110" customFormat="1" ht="13.5" customHeight="1" thickBot="1">
      <c r="A8" s="117"/>
      <c r="B8" s="118" t="s">
        <v>74</v>
      </c>
      <c r="C8" s="118" t="s">
        <v>75</v>
      </c>
      <c r="D8" s="118" t="s">
        <v>76</v>
      </c>
      <c r="E8" s="118">
        <v>2</v>
      </c>
      <c r="F8" s="118">
        <v>3</v>
      </c>
      <c r="G8" s="118">
        <v>4</v>
      </c>
      <c r="H8" s="118">
        <v>5</v>
      </c>
      <c r="I8" s="118" t="s">
        <v>77</v>
      </c>
      <c r="J8" s="118" t="s">
        <v>78</v>
      </c>
      <c r="K8" s="118">
        <v>6</v>
      </c>
      <c r="L8" s="118">
        <v>7</v>
      </c>
      <c r="M8" s="118">
        <v>8</v>
      </c>
      <c r="N8" s="118">
        <v>9</v>
      </c>
      <c r="O8" s="118" t="s">
        <v>79</v>
      </c>
      <c r="P8" s="118" t="s">
        <v>80</v>
      </c>
      <c r="Q8" s="118">
        <v>10</v>
      </c>
      <c r="R8" s="119">
        <v>11</v>
      </c>
      <c r="S8" s="118">
        <v>12</v>
      </c>
    </row>
    <row r="9" spans="1:19" s="110" customFormat="1" ht="21" customHeight="1">
      <c r="A9" s="120" t="s">
        <v>81</v>
      </c>
      <c r="B9" s="121"/>
      <c r="C9" s="122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4"/>
      <c r="Q9" s="124"/>
      <c r="R9" s="125"/>
      <c r="S9" s="123"/>
    </row>
    <row r="10" spans="1:19" s="110" customFormat="1" ht="15" customHeight="1">
      <c r="A10" s="126" t="s">
        <v>82</v>
      </c>
      <c r="B10" s="127">
        <f>SUM(B11:B15)</f>
        <v>1025377451</v>
      </c>
      <c r="C10" s="127">
        <f>SUM(C11:C15)</f>
        <v>1066118231</v>
      </c>
      <c r="D10" s="127">
        <f>SUM(D11:D15)</f>
        <v>-1580179</v>
      </c>
      <c r="E10" s="127">
        <f>SUM(E11:E15)</f>
        <v>1156407951</v>
      </c>
      <c r="F10" s="127">
        <f>SUM(F11:F15)</f>
        <v>1156407951</v>
      </c>
      <c r="G10" s="128">
        <f>F10/E10</f>
        <v>1</v>
      </c>
      <c r="H10" s="127">
        <f>SUM(H11:H15)</f>
        <v>2177803498</v>
      </c>
      <c r="I10" s="127">
        <f>SUM(I11:I15)</f>
        <v>2264575674</v>
      </c>
      <c r="J10" s="127">
        <f>SUM(J11:J15)</f>
        <v>-9526943</v>
      </c>
      <c r="K10" s="127">
        <f>SUM(K11:K15)</f>
        <v>2351152276</v>
      </c>
      <c r="L10" s="127">
        <f>SUM(L11:L15)</f>
        <v>2350931950</v>
      </c>
      <c r="M10" s="128">
        <f>L10/K10</f>
        <v>0.99990000000000001</v>
      </c>
      <c r="N10" s="47">
        <f t="shared" ref="N10:N32" si="0">SUM(B10+H10)</f>
        <v>3203180949</v>
      </c>
      <c r="O10" s="47">
        <f t="shared" ref="O10:O32" si="1">SUM(C10+I10)</f>
        <v>3330693905</v>
      </c>
      <c r="P10" s="47">
        <f t="shared" ref="P10:P32" si="2">SUM(D10+J10)</f>
        <v>-11107122</v>
      </c>
      <c r="Q10" s="47">
        <f t="shared" ref="Q10:Q32" si="3">SUM(E10+K10)</f>
        <v>3507560227</v>
      </c>
      <c r="R10" s="47">
        <f t="shared" ref="R10:R32" si="4">SUM(F10+L10)</f>
        <v>3507339901</v>
      </c>
      <c r="S10" s="128">
        <f t="shared" ref="S10:S26" si="5">R10/Q10</f>
        <v>0.99990000000000001</v>
      </c>
    </row>
    <row r="11" spans="1:19" s="110" customFormat="1" ht="15.75">
      <c r="A11" s="129" t="s">
        <v>83</v>
      </c>
      <c r="B11" s="130"/>
      <c r="C11" s="131"/>
      <c r="D11" s="132"/>
      <c r="E11" s="133"/>
      <c r="F11" s="134"/>
      <c r="G11" s="135"/>
      <c r="H11" s="133">
        <f>'4 bbb Önkorm'!BO64</f>
        <v>2053432498</v>
      </c>
      <c r="I11" s="133">
        <f>'4 bbb Önkorm'!BP64</f>
        <v>2087946798</v>
      </c>
      <c r="J11" s="136">
        <f>'4 bbb Önkorm'!BQ64</f>
        <v>19251710</v>
      </c>
      <c r="K11" s="137">
        <f>'4 bbb Önkorm'!BR64</f>
        <v>2197159113</v>
      </c>
      <c r="L11" s="38">
        <f>'4 bbb Önkorm'!BS64</f>
        <v>2197159113</v>
      </c>
      <c r="M11" s="138">
        <f>L11/K11</f>
        <v>1</v>
      </c>
      <c r="N11" s="134">
        <f t="shared" si="0"/>
        <v>2053432498</v>
      </c>
      <c r="O11" s="134">
        <f t="shared" si="1"/>
        <v>2087946798</v>
      </c>
      <c r="P11" s="134">
        <f t="shared" si="2"/>
        <v>19251710</v>
      </c>
      <c r="Q11" s="134">
        <f t="shared" si="3"/>
        <v>2197159113</v>
      </c>
      <c r="R11" s="134">
        <f t="shared" si="4"/>
        <v>2197159113</v>
      </c>
      <c r="S11" s="138">
        <f t="shared" si="5"/>
        <v>1</v>
      </c>
    </row>
    <row r="12" spans="1:19" s="110" customFormat="1" ht="15.75">
      <c r="A12" s="129" t="s">
        <v>84</v>
      </c>
      <c r="B12" s="131"/>
      <c r="C12" s="131"/>
      <c r="D12" s="132"/>
      <c r="E12" s="134"/>
      <c r="F12" s="134"/>
      <c r="G12" s="135"/>
      <c r="H12" s="134">
        <f>'4 bbb Önkorm'!BO65</f>
        <v>0</v>
      </c>
      <c r="I12" s="134">
        <f>'4 bbb Önkorm'!BP65</f>
        <v>52257876</v>
      </c>
      <c r="J12" s="139">
        <f>'4 bbb Önkorm'!BQ65</f>
        <v>0</v>
      </c>
      <c r="K12" s="38">
        <f>'4 bbb Önkorm'!BR65</f>
        <v>52257876</v>
      </c>
      <c r="L12" s="38">
        <f>'4 bbb Önkorm'!BS65</f>
        <v>52257876</v>
      </c>
      <c r="M12" s="138">
        <f>L12/K12</f>
        <v>1</v>
      </c>
      <c r="N12" s="134">
        <f t="shared" si="0"/>
        <v>0</v>
      </c>
      <c r="O12" s="134">
        <f t="shared" si="1"/>
        <v>52257876</v>
      </c>
      <c r="P12" s="134">
        <f t="shared" si="2"/>
        <v>0</v>
      </c>
      <c r="Q12" s="134">
        <f t="shared" si="3"/>
        <v>52257876</v>
      </c>
      <c r="R12" s="134">
        <f t="shared" si="4"/>
        <v>52257876</v>
      </c>
      <c r="S12" s="138">
        <f t="shared" si="5"/>
        <v>1</v>
      </c>
    </row>
    <row r="13" spans="1:19" s="110" customFormat="1" ht="15.75" hidden="1">
      <c r="A13" s="129" t="s">
        <v>85</v>
      </c>
      <c r="B13" s="131">
        <f>'4 a Intézmények'!CD66</f>
        <v>0</v>
      </c>
      <c r="C13" s="131"/>
      <c r="D13" s="132"/>
      <c r="E13" s="134">
        <f>'4 a Intézmények'!CG66</f>
        <v>0</v>
      </c>
      <c r="F13" s="134">
        <f>'4 a Intézmények'!CH66</f>
        <v>0</v>
      </c>
      <c r="G13" s="135" t="e">
        <f>F13/E13</f>
        <v>#DIV/0!</v>
      </c>
      <c r="H13" s="134"/>
      <c r="I13" s="134"/>
      <c r="J13" s="139"/>
      <c r="K13" s="38"/>
      <c r="L13" s="38"/>
      <c r="M13" s="138" t="e">
        <f>L13/K13</f>
        <v>#DIV/0!</v>
      </c>
      <c r="N13" s="134">
        <f t="shared" si="0"/>
        <v>0</v>
      </c>
      <c r="O13" s="134">
        <f t="shared" si="1"/>
        <v>0</v>
      </c>
      <c r="P13" s="134">
        <f t="shared" si="2"/>
        <v>0</v>
      </c>
      <c r="Q13" s="134">
        <f t="shared" si="3"/>
        <v>0</v>
      </c>
      <c r="R13" s="134">
        <f t="shared" si="4"/>
        <v>0</v>
      </c>
      <c r="S13" s="138" t="e">
        <f t="shared" si="5"/>
        <v>#DIV/0!</v>
      </c>
    </row>
    <row r="14" spans="1:19" s="110" customFormat="1" ht="15.75">
      <c r="A14" s="129" t="s">
        <v>86</v>
      </c>
      <c r="B14" s="131">
        <f>'4 a Intézmények'!CD67</f>
        <v>1022528000</v>
      </c>
      <c r="C14" s="131">
        <f>'4 a Intézmények'!CE67</f>
        <v>1022528000</v>
      </c>
      <c r="D14" s="132">
        <f>'4 a Intézmények'!CF67</f>
        <v>-1327000</v>
      </c>
      <c r="E14" s="134">
        <f>'4 a Intézmények'!CG67</f>
        <v>1086764500</v>
      </c>
      <c r="F14" s="134">
        <f>'4 a Intézmények'!CH67</f>
        <v>1086764500</v>
      </c>
      <c r="G14" s="135">
        <f>F14/E14</f>
        <v>1</v>
      </c>
      <c r="H14" s="134"/>
      <c r="I14" s="134"/>
      <c r="J14" s="139"/>
      <c r="K14" s="38"/>
      <c r="L14" s="38"/>
      <c r="M14" s="138"/>
      <c r="N14" s="134">
        <f t="shared" si="0"/>
        <v>1022528000</v>
      </c>
      <c r="O14" s="134">
        <f t="shared" si="1"/>
        <v>1022528000</v>
      </c>
      <c r="P14" s="134">
        <f t="shared" si="2"/>
        <v>-1327000</v>
      </c>
      <c r="Q14" s="134">
        <f t="shared" si="3"/>
        <v>1086764500</v>
      </c>
      <c r="R14" s="134">
        <f t="shared" si="4"/>
        <v>1086764500</v>
      </c>
      <c r="S14" s="138">
        <f t="shared" si="5"/>
        <v>1</v>
      </c>
    </row>
    <row r="15" spans="1:19" s="110" customFormat="1" ht="16.5" thickBot="1">
      <c r="A15" s="129" t="s">
        <v>87</v>
      </c>
      <c r="B15" s="131">
        <f>'4 ba Polg Hiv'!BC72+'4 a Intézmények'!CD68</f>
        <v>2849451</v>
      </c>
      <c r="C15" s="131">
        <f>'4 ba Polg Hiv'!BD72+'4 a Intézmények'!CE68</f>
        <v>43590231</v>
      </c>
      <c r="D15" s="132">
        <f>'4 ba Polg Hiv'!BE72+'4 a Intézmények'!CF68</f>
        <v>-253179</v>
      </c>
      <c r="E15" s="134">
        <f>'4 ba Polg Hiv'!BF72+'4 a Intézmények'!CG68</f>
        <v>69643451</v>
      </c>
      <c r="F15" s="134">
        <f>'4 ba Polg Hiv'!BG72+'4 a Intézmények'!CH68</f>
        <v>69643451</v>
      </c>
      <c r="G15" s="135">
        <f>F15/E15</f>
        <v>1</v>
      </c>
      <c r="H15" s="140">
        <f>'4 bbb Önkorm'!BO68</f>
        <v>124371000</v>
      </c>
      <c r="I15" s="140">
        <f>'4 bbb Önkorm'!BP68</f>
        <v>124371000</v>
      </c>
      <c r="J15" s="141">
        <f>'4 bbb Önkorm'!BQ68</f>
        <v>-28778653</v>
      </c>
      <c r="K15" s="142">
        <f>'4 bbb Önkorm'!BR68</f>
        <v>101735287</v>
      </c>
      <c r="L15" s="38">
        <f>'4 bbb Önkorm'!BS68</f>
        <v>101514961</v>
      </c>
      <c r="M15" s="138">
        <f t="shared" ref="M15:M25" si="6">L15/K15</f>
        <v>0.99780000000000002</v>
      </c>
      <c r="N15" s="134">
        <f t="shared" si="0"/>
        <v>127220451</v>
      </c>
      <c r="O15" s="134">
        <f t="shared" si="1"/>
        <v>167961231</v>
      </c>
      <c r="P15" s="134">
        <f t="shared" si="2"/>
        <v>-29031832</v>
      </c>
      <c r="Q15" s="134">
        <f t="shared" si="3"/>
        <v>171378738</v>
      </c>
      <c r="R15" s="134">
        <f t="shared" si="4"/>
        <v>171158412</v>
      </c>
      <c r="S15" s="138">
        <f t="shared" si="5"/>
        <v>0.99870000000000003</v>
      </c>
    </row>
    <row r="16" spans="1:19" s="110" customFormat="1" ht="15" customHeight="1">
      <c r="A16" s="143" t="s">
        <v>88</v>
      </c>
      <c r="B16" s="127">
        <f>'4 ba Polg Hiv'!BC73+'4 a Intézmények'!CD69</f>
        <v>991000</v>
      </c>
      <c r="C16" s="127">
        <f>'4 ba Polg Hiv'!BD73+'4 a Intézmények'!CE69</f>
        <v>991000</v>
      </c>
      <c r="D16" s="127">
        <f>'4 ba Polg Hiv'!BE73+'4 a Intézmények'!CF69</f>
        <v>0</v>
      </c>
      <c r="E16" s="127">
        <f>'4 ba Polg Hiv'!BF73+'4 a Intézmények'!CG69</f>
        <v>991000</v>
      </c>
      <c r="F16" s="127">
        <f>'4 ba Polg Hiv'!BG73+'4 a Intézmények'!CH69</f>
        <v>655000</v>
      </c>
      <c r="G16" s="144">
        <f>F16/E16</f>
        <v>0.66090000000000004</v>
      </c>
      <c r="H16" s="145">
        <f>'4 bbb Önkorm'!BO69</f>
        <v>8350776000</v>
      </c>
      <c r="I16" s="145">
        <f>'4 bbb Önkorm'!BP69</f>
        <v>8423876000</v>
      </c>
      <c r="J16" s="145">
        <f>'4 bbb Önkorm'!BQ69</f>
        <v>0</v>
      </c>
      <c r="K16" s="145">
        <f>'4 bbb Önkorm'!BR69</f>
        <v>8673680840</v>
      </c>
      <c r="L16" s="145">
        <f>'4 bbb Önkorm'!BS69</f>
        <v>8661103219</v>
      </c>
      <c r="M16" s="144">
        <f t="shared" si="6"/>
        <v>0.99850000000000005</v>
      </c>
      <c r="N16" s="47">
        <f t="shared" si="0"/>
        <v>8351767000</v>
      </c>
      <c r="O16" s="47">
        <f t="shared" si="1"/>
        <v>8424867000</v>
      </c>
      <c r="P16" s="47">
        <f t="shared" si="2"/>
        <v>0</v>
      </c>
      <c r="Q16" s="47">
        <f t="shared" si="3"/>
        <v>8674671840</v>
      </c>
      <c r="R16" s="47">
        <f t="shared" si="4"/>
        <v>8661758219</v>
      </c>
      <c r="S16" s="144">
        <f t="shared" si="5"/>
        <v>0.99850000000000005</v>
      </c>
    </row>
    <row r="17" spans="1:20" s="110" customFormat="1" ht="15.75">
      <c r="A17" s="130" t="s">
        <v>89</v>
      </c>
      <c r="B17" s="146"/>
      <c r="C17" s="146">
        <f>SUM(C18:C22)</f>
        <v>0</v>
      </c>
      <c r="D17" s="147">
        <f>SUM(D18:D22)</f>
        <v>0</v>
      </c>
      <c r="E17" s="134"/>
      <c r="F17" s="134"/>
      <c r="G17" s="135"/>
      <c r="H17" s="148">
        <f>SUM(H18:H22)</f>
        <v>8105476000</v>
      </c>
      <c r="I17" s="148">
        <f>SUM(I18:I22)</f>
        <v>0</v>
      </c>
      <c r="J17" s="147">
        <f>SUM(J18:J22)</f>
        <v>0</v>
      </c>
      <c r="K17" s="146">
        <f>SUM(K18:K22)</f>
        <v>8380948849</v>
      </c>
      <c r="L17" s="146">
        <f>SUM(L18:L22)</f>
        <v>8380691611</v>
      </c>
      <c r="M17" s="149">
        <f t="shared" si="6"/>
        <v>1</v>
      </c>
      <c r="N17" s="134">
        <f t="shared" si="0"/>
        <v>8105476000</v>
      </c>
      <c r="O17" s="134">
        <f t="shared" si="1"/>
        <v>0</v>
      </c>
      <c r="P17" s="134">
        <f t="shared" si="2"/>
        <v>0</v>
      </c>
      <c r="Q17" s="134">
        <f t="shared" si="3"/>
        <v>8380948849</v>
      </c>
      <c r="R17" s="134">
        <f t="shared" si="4"/>
        <v>8380691611</v>
      </c>
      <c r="S17" s="149">
        <f t="shared" si="5"/>
        <v>1</v>
      </c>
    </row>
    <row r="18" spans="1:20" s="110" customFormat="1" ht="15.75">
      <c r="A18" s="150" t="s">
        <v>90</v>
      </c>
      <c r="B18" s="151"/>
      <c r="C18" s="151"/>
      <c r="D18" s="152"/>
      <c r="E18" s="153"/>
      <c r="F18" s="153"/>
      <c r="G18" s="154"/>
      <c r="H18" s="155">
        <v>606000000</v>
      </c>
      <c r="I18" s="156"/>
      <c r="J18" s="157"/>
      <c r="K18" s="155">
        <v>782564171</v>
      </c>
      <c r="L18" s="155">
        <v>782564171</v>
      </c>
      <c r="M18" s="158">
        <f t="shared" si="6"/>
        <v>1</v>
      </c>
      <c r="N18" s="153">
        <f t="shared" si="0"/>
        <v>606000000</v>
      </c>
      <c r="O18" s="153">
        <f t="shared" si="1"/>
        <v>0</v>
      </c>
      <c r="P18" s="153">
        <f t="shared" si="2"/>
        <v>0</v>
      </c>
      <c r="Q18" s="153">
        <f t="shared" si="3"/>
        <v>782564171</v>
      </c>
      <c r="R18" s="153">
        <f t="shared" si="4"/>
        <v>782564171</v>
      </c>
      <c r="S18" s="158">
        <f t="shared" si="5"/>
        <v>1</v>
      </c>
    </row>
    <row r="19" spans="1:20" s="110" customFormat="1" ht="15.75">
      <c r="A19" s="150" t="s">
        <v>91</v>
      </c>
      <c r="B19" s="151"/>
      <c r="C19" s="151"/>
      <c r="D19" s="152"/>
      <c r="E19" s="153"/>
      <c r="F19" s="153"/>
      <c r="G19" s="154"/>
      <c r="H19" s="155">
        <v>1910000000</v>
      </c>
      <c r="I19" s="156"/>
      <c r="J19" s="157"/>
      <c r="K19" s="155">
        <v>1918890849</v>
      </c>
      <c r="L19" s="155">
        <v>1918890849</v>
      </c>
      <c r="M19" s="158">
        <f t="shared" si="6"/>
        <v>1</v>
      </c>
      <c r="N19" s="153">
        <f t="shared" si="0"/>
        <v>1910000000</v>
      </c>
      <c r="O19" s="153">
        <f t="shared" si="1"/>
        <v>0</v>
      </c>
      <c r="P19" s="153">
        <f t="shared" si="2"/>
        <v>0</v>
      </c>
      <c r="Q19" s="153">
        <f t="shared" si="3"/>
        <v>1918890849</v>
      </c>
      <c r="R19" s="153">
        <f t="shared" si="4"/>
        <v>1918890849</v>
      </c>
      <c r="S19" s="158">
        <f t="shared" si="5"/>
        <v>1</v>
      </c>
    </row>
    <row r="20" spans="1:20" s="110" customFormat="1" ht="15.75">
      <c r="A20" s="150" t="s">
        <v>1345</v>
      </c>
      <c r="B20" s="151"/>
      <c r="C20" s="151"/>
      <c r="D20" s="152"/>
      <c r="E20" s="153"/>
      <c r="F20" s="153"/>
      <c r="G20" s="154"/>
      <c r="H20" s="155">
        <v>5572706000</v>
      </c>
      <c r="I20" s="156"/>
      <c r="J20" s="157"/>
      <c r="K20" s="155">
        <v>5662271772</v>
      </c>
      <c r="L20" s="155">
        <f>5676663934-14392162</f>
        <v>5662271772</v>
      </c>
      <c r="M20" s="158">
        <f t="shared" si="6"/>
        <v>1</v>
      </c>
      <c r="N20" s="153">
        <f t="shared" si="0"/>
        <v>5572706000</v>
      </c>
      <c r="O20" s="153">
        <f t="shared" si="1"/>
        <v>0</v>
      </c>
      <c r="P20" s="153">
        <f t="shared" si="2"/>
        <v>0</v>
      </c>
      <c r="Q20" s="153">
        <f t="shared" si="3"/>
        <v>5662271772</v>
      </c>
      <c r="R20" s="153">
        <f t="shared" si="4"/>
        <v>5662271772</v>
      </c>
      <c r="S20" s="158">
        <f t="shared" si="5"/>
        <v>1</v>
      </c>
    </row>
    <row r="21" spans="1:20" s="110" customFormat="1" ht="15.75">
      <c r="A21" s="150" t="s">
        <v>92</v>
      </c>
      <c r="B21" s="151"/>
      <c r="C21" s="151"/>
      <c r="D21" s="152"/>
      <c r="E21" s="153"/>
      <c r="F21" s="153"/>
      <c r="G21" s="154"/>
      <c r="H21" s="155">
        <v>150000</v>
      </c>
      <c r="I21" s="156"/>
      <c r="J21" s="157"/>
      <c r="K21" s="155">
        <v>150000</v>
      </c>
      <c r="L21" s="155">
        <v>120600</v>
      </c>
      <c r="M21" s="158">
        <f t="shared" si="6"/>
        <v>0.80400000000000005</v>
      </c>
      <c r="N21" s="153">
        <f t="shared" si="0"/>
        <v>150000</v>
      </c>
      <c r="O21" s="153">
        <f t="shared" si="1"/>
        <v>0</v>
      </c>
      <c r="P21" s="153">
        <f t="shared" si="2"/>
        <v>0</v>
      </c>
      <c r="Q21" s="153">
        <f t="shared" si="3"/>
        <v>150000</v>
      </c>
      <c r="R21" s="153">
        <f t="shared" si="4"/>
        <v>120600</v>
      </c>
      <c r="S21" s="158">
        <f t="shared" si="5"/>
        <v>0.80400000000000005</v>
      </c>
    </row>
    <row r="22" spans="1:20" s="110" customFormat="1" ht="15.75">
      <c r="A22" s="150" t="s">
        <v>1346</v>
      </c>
      <c r="B22" s="151"/>
      <c r="C22" s="151"/>
      <c r="D22" s="152"/>
      <c r="E22" s="153"/>
      <c r="F22" s="153"/>
      <c r="G22" s="154"/>
      <c r="H22" s="155">
        <v>16620000</v>
      </c>
      <c r="I22" s="156"/>
      <c r="J22" s="157"/>
      <c r="K22" s="155">
        <v>17072057</v>
      </c>
      <c r="L22" s="155">
        <f>14392162+2452057</f>
        <v>16844219</v>
      </c>
      <c r="M22" s="158">
        <f t="shared" si="6"/>
        <v>0.98670000000000002</v>
      </c>
      <c r="N22" s="153">
        <f t="shared" si="0"/>
        <v>16620000</v>
      </c>
      <c r="O22" s="153">
        <f t="shared" si="1"/>
        <v>0</v>
      </c>
      <c r="P22" s="153">
        <f t="shared" si="2"/>
        <v>0</v>
      </c>
      <c r="Q22" s="153">
        <f t="shared" si="3"/>
        <v>17072057</v>
      </c>
      <c r="R22" s="153">
        <f t="shared" si="4"/>
        <v>16844219</v>
      </c>
      <c r="S22" s="158">
        <f t="shared" si="5"/>
        <v>0.98670000000000002</v>
      </c>
    </row>
    <row r="23" spans="1:20" s="110" customFormat="1" ht="15.75">
      <c r="A23" s="129" t="s">
        <v>93</v>
      </c>
      <c r="B23" s="131"/>
      <c r="C23" s="131"/>
      <c r="D23" s="159"/>
      <c r="E23" s="134"/>
      <c r="F23" s="134"/>
      <c r="G23" s="135"/>
      <c r="H23" s="25">
        <v>215000000</v>
      </c>
      <c r="I23" s="160">
        <v>215000000</v>
      </c>
      <c r="J23" s="157"/>
      <c r="K23" s="25">
        <v>227277391</v>
      </c>
      <c r="L23" s="25">
        <v>227277391</v>
      </c>
      <c r="M23" s="161">
        <f t="shared" si="6"/>
        <v>1</v>
      </c>
      <c r="N23" s="134">
        <f t="shared" si="0"/>
        <v>215000000</v>
      </c>
      <c r="O23" s="134">
        <f t="shared" si="1"/>
        <v>215000000</v>
      </c>
      <c r="P23" s="134">
        <f t="shared" si="2"/>
        <v>0</v>
      </c>
      <c r="Q23" s="134">
        <f t="shared" si="3"/>
        <v>227277391</v>
      </c>
      <c r="R23" s="134">
        <f t="shared" si="4"/>
        <v>227277391</v>
      </c>
      <c r="S23" s="161">
        <f t="shared" si="5"/>
        <v>1</v>
      </c>
    </row>
    <row r="24" spans="1:20" s="110" customFormat="1" ht="15.75">
      <c r="A24" s="162" t="s">
        <v>94</v>
      </c>
      <c r="B24" s="131">
        <f>SUM('4 a Intézmények'!CD69+'4 ba Polg Hiv'!BC73)</f>
        <v>991000</v>
      </c>
      <c r="C24" s="131">
        <f>SUM('4 a Intézmények'!CE69+'4 ba Polg Hiv'!BD73)</f>
        <v>991000</v>
      </c>
      <c r="D24" s="159">
        <f>SUM('4 a Intézmények'!CF69+'4 ba Polg Hiv'!BE73)</f>
        <v>0</v>
      </c>
      <c r="E24" s="134">
        <f>SUM('4 a Intézmények'!CG69+'4 ba Polg Hiv'!BF73)</f>
        <v>991000</v>
      </c>
      <c r="F24" s="134">
        <f>SUM('4 a Intézmények'!CH69+'4 ba Polg Hiv'!BG73)</f>
        <v>655000</v>
      </c>
      <c r="G24" s="135">
        <f>F24/E24</f>
        <v>0.66090000000000004</v>
      </c>
      <c r="H24" s="163">
        <v>30300000</v>
      </c>
      <c r="I24" s="164">
        <v>30300000</v>
      </c>
      <c r="J24" s="157"/>
      <c r="K24" s="25">
        <v>65454600</v>
      </c>
      <c r="L24" s="25">
        <v>53134217</v>
      </c>
      <c r="M24" s="161">
        <f t="shared" si="6"/>
        <v>0.81179999999999997</v>
      </c>
      <c r="N24" s="134">
        <f t="shared" si="0"/>
        <v>31291000</v>
      </c>
      <c r="O24" s="134">
        <f t="shared" si="1"/>
        <v>31291000</v>
      </c>
      <c r="P24" s="134">
        <f t="shared" si="2"/>
        <v>0</v>
      </c>
      <c r="Q24" s="134">
        <f t="shared" si="3"/>
        <v>66445600</v>
      </c>
      <c r="R24" s="134">
        <f t="shared" si="4"/>
        <v>53789217</v>
      </c>
      <c r="S24" s="161">
        <f t="shared" si="5"/>
        <v>0.8095</v>
      </c>
      <c r="T24" s="165"/>
    </row>
    <row r="25" spans="1:20" s="110" customFormat="1" ht="15" customHeight="1">
      <c r="A25" s="143" t="s">
        <v>95</v>
      </c>
      <c r="B25" s="166">
        <f>SUM(B26:B29)</f>
        <v>717953336</v>
      </c>
      <c r="C25" s="166">
        <f>SUM(C26:C29)</f>
        <v>717953336</v>
      </c>
      <c r="D25" s="166">
        <f>SUM(D26:D29)</f>
        <v>853081</v>
      </c>
      <c r="E25" s="166">
        <f>SUM(E26:E29)</f>
        <v>747184931</v>
      </c>
      <c r="F25" s="166">
        <f>SUM(F26:F29)</f>
        <v>745544478</v>
      </c>
      <c r="G25" s="167">
        <f>F25/E25</f>
        <v>0.99780000000000002</v>
      </c>
      <c r="H25" s="133">
        <f>SUM(H26:H29)</f>
        <v>570573000</v>
      </c>
      <c r="I25" s="133">
        <f>SUM(I26:I29)</f>
        <v>589592725</v>
      </c>
      <c r="J25" s="133">
        <f>SUM(J26:J29)</f>
        <v>10523691</v>
      </c>
      <c r="K25" s="133">
        <f>SUM(K26:K29)</f>
        <v>682500441</v>
      </c>
      <c r="L25" s="133">
        <f>SUM(L26:L29)</f>
        <v>628885452</v>
      </c>
      <c r="M25" s="167">
        <f t="shared" si="6"/>
        <v>0.9214</v>
      </c>
      <c r="N25" s="145">
        <f t="shared" si="0"/>
        <v>1288526336</v>
      </c>
      <c r="O25" s="145">
        <f t="shared" si="1"/>
        <v>1307546061</v>
      </c>
      <c r="P25" s="145">
        <f t="shared" si="2"/>
        <v>11376772</v>
      </c>
      <c r="Q25" s="145">
        <f t="shared" si="3"/>
        <v>1429685372</v>
      </c>
      <c r="R25" s="145">
        <f t="shared" si="4"/>
        <v>1374429930</v>
      </c>
      <c r="S25" s="167">
        <f t="shared" si="5"/>
        <v>0.96140000000000003</v>
      </c>
    </row>
    <row r="26" spans="1:20" s="110" customFormat="1" ht="15" customHeight="1">
      <c r="A26" s="130" t="s">
        <v>96</v>
      </c>
      <c r="B26" s="168">
        <f>SUM('4 a Intézmények'!CD71)</f>
        <v>375191273</v>
      </c>
      <c r="C26" s="168">
        <f>SUM('4 a Intézmények'!CE71)</f>
        <v>375191273</v>
      </c>
      <c r="D26" s="169">
        <f>SUM('4 a Intézmények'!CF71)</f>
        <v>-1530000</v>
      </c>
      <c r="E26" s="133">
        <f>SUM('4 a Intézmények'!CG71)</f>
        <v>335307151</v>
      </c>
      <c r="F26" s="133">
        <f>SUM('4 a Intézmények'!CH71)</f>
        <v>331874792</v>
      </c>
      <c r="G26" s="167">
        <f>F26/E26</f>
        <v>0.98980000000000001</v>
      </c>
      <c r="H26" s="133"/>
      <c r="I26" s="133"/>
      <c r="J26" s="169"/>
      <c r="K26" s="133">
        <f>SUM(I26+J26)</f>
        <v>0</v>
      </c>
      <c r="L26" s="133">
        <f>I26-H26</f>
        <v>0</v>
      </c>
      <c r="M26" s="167"/>
      <c r="N26" s="133">
        <f t="shared" si="0"/>
        <v>375191273</v>
      </c>
      <c r="O26" s="133">
        <f t="shared" si="1"/>
        <v>375191273</v>
      </c>
      <c r="P26" s="133">
        <f t="shared" si="2"/>
        <v>-1530000</v>
      </c>
      <c r="Q26" s="133">
        <f t="shared" si="3"/>
        <v>335307151</v>
      </c>
      <c r="R26" s="133">
        <f t="shared" si="4"/>
        <v>331874792</v>
      </c>
      <c r="S26" s="167">
        <f t="shared" si="5"/>
        <v>0.98980000000000001</v>
      </c>
    </row>
    <row r="27" spans="1:20" s="110" customFormat="1" ht="15" customHeight="1">
      <c r="A27" s="129" t="s">
        <v>97</v>
      </c>
      <c r="B27" s="131">
        <f>SUM('4 a Intézmények'!CD72)</f>
        <v>0</v>
      </c>
      <c r="C27" s="131">
        <f>SUM('4 a Intézmények'!CE72)</f>
        <v>0</v>
      </c>
      <c r="D27" s="170">
        <f>SUM('4 a Intézmények'!CF72)</f>
        <v>0</v>
      </c>
      <c r="E27" s="171">
        <f>SUM('4 a Intézmények'!CG72)</f>
        <v>0</v>
      </c>
      <c r="F27" s="171">
        <f>SUM('4 a Intézmények'!CH72)</f>
        <v>91402576</v>
      </c>
      <c r="G27" s="172"/>
      <c r="H27" s="171"/>
      <c r="I27" s="171"/>
      <c r="J27" s="170"/>
      <c r="K27" s="171">
        <f>SUM(I27+J27)</f>
        <v>0</v>
      </c>
      <c r="L27" s="171">
        <f>I27-H27</f>
        <v>0</v>
      </c>
      <c r="M27" s="172"/>
      <c r="N27" s="171">
        <f t="shared" si="0"/>
        <v>0</v>
      </c>
      <c r="O27" s="171">
        <f t="shared" si="1"/>
        <v>0</v>
      </c>
      <c r="P27" s="171">
        <f t="shared" si="2"/>
        <v>0</v>
      </c>
      <c r="Q27" s="171">
        <f t="shared" si="3"/>
        <v>0</v>
      </c>
      <c r="R27" s="171">
        <f t="shared" si="4"/>
        <v>91402576</v>
      </c>
      <c r="S27" s="172"/>
    </row>
    <row r="28" spans="1:20" s="110" customFormat="1" ht="15" customHeight="1">
      <c r="A28" s="129" t="s">
        <v>98</v>
      </c>
      <c r="B28" s="173">
        <f>SUM('4 a Intézmények'!CD73+'4 ba Polg Hiv'!BC77)</f>
        <v>342762063</v>
      </c>
      <c r="C28" s="173">
        <f>SUM('4 a Intézmények'!CE73+'4 ba Polg Hiv'!BD77)</f>
        <v>342762063</v>
      </c>
      <c r="D28" s="174">
        <f>SUM('4 a Intézmények'!CF70+'4 ba Polg Hiv'!BE74+'4 a Intézmények'!CF73+'4 ba Polg Hiv'!BE77)</f>
        <v>2383081</v>
      </c>
      <c r="E28" s="175">
        <f>SUM('4 a Intézmények'!CG73+'4 ba Polg Hiv'!BF77)</f>
        <v>411877780</v>
      </c>
      <c r="F28" s="175">
        <f>SUM('4 a Intézmények'!CH73+'4 ba Polg Hiv'!BG77)</f>
        <v>322267110</v>
      </c>
      <c r="G28" s="176">
        <f>F28/E28</f>
        <v>0.78239999999999998</v>
      </c>
      <c r="H28" s="175">
        <f>'4 bbb Önkorm'!BO73</f>
        <v>570573000</v>
      </c>
      <c r="I28" s="175">
        <f>'4 bbb Önkorm'!BP73</f>
        <v>589592725</v>
      </c>
      <c r="J28" s="175">
        <f>'4 bbb Önkorm'!BQ73</f>
        <v>10523691</v>
      </c>
      <c r="K28" s="175">
        <f>'4 bbb Önkorm'!BR73</f>
        <v>682500441</v>
      </c>
      <c r="L28" s="175">
        <f>'4 bbb Önkorm'!BS73</f>
        <v>628885452</v>
      </c>
      <c r="M28" s="176">
        <f>L28/K28</f>
        <v>0.9214</v>
      </c>
      <c r="N28" s="175">
        <f t="shared" si="0"/>
        <v>913335063</v>
      </c>
      <c r="O28" s="175">
        <f t="shared" si="1"/>
        <v>932354788</v>
      </c>
      <c r="P28" s="175">
        <f t="shared" si="2"/>
        <v>12906772</v>
      </c>
      <c r="Q28" s="175">
        <f t="shared" si="3"/>
        <v>1094378221</v>
      </c>
      <c r="R28" s="175">
        <f t="shared" si="4"/>
        <v>951152562</v>
      </c>
      <c r="S28" s="176">
        <f>R28/Q28</f>
        <v>0.86909999999999998</v>
      </c>
    </row>
    <row r="29" spans="1:20" s="110" customFormat="1" ht="15" customHeight="1">
      <c r="A29" s="162" t="s">
        <v>99</v>
      </c>
      <c r="B29" s="162"/>
      <c r="C29" s="131"/>
      <c r="D29" s="177"/>
      <c r="E29" s="178"/>
      <c r="F29" s="178"/>
      <c r="G29" s="179"/>
      <c r="H29" s="180"/>
      <c r="I29" s="178"/>
      <c r="J29" s="177"/>
      <c r="K29" s="178"/>
      <c r="L29" s="178">
        <f>I29-H29</f>
        <v>0</v>
      </c>
      <c r="M29" s="179"/>
      <c r="N29" s="175">
        <f t="shared" si="0"/>
        <v>0</v>
      </c>
      <c r="O29" s="175">
        <f t="shared" si="1"/>
        <v>0</v>
      </c>
      <c r="P29" s="175">
        <f t="shared" si="2"/>
        <v>0</v>
      </c>
      <c r="Q29" s="175">
        <f t="shared" si="3"/>
        <v>0</v>
      </c>
      <c r="R29" s="175">
        <f t="shared" si="4"/>
        <v>0</v>
      </c>
      <c r="S29" s="179"/>
    </row>
    <row r="30" spans="1:20" s="110" customFormat="1" ht="15" customHeight="1">
      <c r="A30" s="126" t="s">
        <v>100</v>
      </c>
      <c r="B30" s="145">
        <f>SUM(B31:B32)</f>
        <v>0</v>
      </c>
      <c r="C30" s="145">
        <f>SUM(C31:C32)</f>
        <v>0</v>
      </c>
      <c r="D30" s="145">
        <f>SUM(D31:D32)</f>
        <v>0</v>
      </c>
      <c r="E30" s="145">
        <f>SUM(E31:E32)</f>
        <v>200000</v>
      </c>
      <c r="F30" s="145">
        <f>SUM(F31:F32)</f>
        <v>207850</v>
      </c>
      <c r="G30" s="181"/>
      <c r="H30" s="145">
        <f>SUM(H31:H32)</f>
        <v>0</v>
      </c>
      <c r="I30" s="145">
        <f>SUM(I31:I32)</f>
        <v>0</v>
      </c>
      <c r="J30" s="145">
        <f>SUM(J31:J32)</f>
        <v>0</v>
      </c>
      <c r="K30" s="145">
        <f>SUM(K31:K32)</f>
        <v>2316743</v>
      </c>
      <c r="L30" s="145">
        <f>SUM(L31:L32)</f>
        <v>1000000</v>
      </c>
      <c r="M30" s="181"/>
      <c r="N30" s="145">
        <f t="shared" si="0"/>
        <v>0</v>
      </c>
      <c r="O30" s="145">
        <f t="shared" si="1"/>
        <v>0</v>
      </c>
      <c r="P30" s="145">
        <f t="shared" si="2"/>
        <v>0</v>
      </c>
      <c r="Q30" s="145">
        <f t="shared" si="3"/>
        <v>2516743</v>
      </c>
      <c r="R30" s="145">
        <f t="shared" si="4"/>
        <v>1207850</v>
      </c>
      <c r="S30" s="181"/>
    </row>
    <row r="31" spans="1:20" s="110" customFormat="1" ht="15.75">
      <c r="A31" s="129" t="s">
        <v>101</v>
      </c>
      <c r="B31" s="130"/>
      <c r="C31" s="131"/>
      <c r="D31" s="132"/>
      <c r="E31" s="134">
        <f>SUM(C31+D31)</f>
        <v>0</v>
      </c>
      <c r="F31" s="134">
        <f>C31-B31</f>
        <v>0</v>
      </c>
      <c r="G31" s="135"/>
      <c r="H31" s="133">
        <f>'4 bbb Önkorm'!BO75</f>
        <v>0</v>
      </c>
      <c r="I31" s="133">
        <f>'4 bbb Önkorm'!BP75</f>
        <v>0</v>
      </c>
      <c r="J31" s="136">
        <f>'4 bbb Önkorm'!BQ75</f>
        <v>0</v>
      </c>
      <c r="K31" s="137">
        <f>'4 bbb Önkorm'!BR75</f>
        <v>0</v>
      </c>
      <c r="L31" s="38">
        <f>'4 bbb Önkorm'!BS75</f>
        <v>0</v>
      </c>
      <c r="M31" s="138"/>
      <c r="N31" s="134">
        <f t="shared" si="0"/>
        <v>0</v>
      </c>
      <c r="O31" s="134">
        <f t="shared" si="1"/>
        <v>0</v>
      </c>
      <c r="P31" s="134">
        <f t="shared" si="2"/>
        <v>0</v>
      </c>
      <c r="Q31" s="134">
        <f t="shared" si="3"/>
        <v>0</v>
      </c>
      <c r="R31" s="134">
        <f t="shared" si="4"/>
        <v>0</v>
      </c>
      <c r="S31" s="138"/>
    </row>
    <row r="32" spans="1:20" s="110" customFormat="1" ht="15.75">
      <c r="A32" s="129" t="s">
        <v>102</v>
      </c>
      <c r="B32" s="131">
        <f>'4 a Intézmények'!CD76+'4 ba Polg Hiv'!BC80</f>
        <v>0</v>
      </c>
      <c r="C32" s="131">
        <f>'4 a Intézmények'!CE76+'4 ba Polg Hiv'!BD80</f>
        <v>0</v>
      </c>
      <c r="D32" s="132">
        <f>'4 a Intézmények'!CF76+'4 ba Polg Hiv'!BE80</f>
        <v>0</v>
      </c>
      <c r="E32" s="134">
        <f>'4 a Intézmények'!CG76+'4 ba Polg Hiv'!BF80</f>
        <v>200000</v>
      </c>
      <c r="F32" s="134">
        <f>'4 a Intézmények'!CH76+'4 ba Polg Hiv'!BG80</f>
        <v>207850</v>
      </c>
      <c r="G32" s="135"/>
      <c r="H32" s="140">
        <f>'4 bbb Önkorm'!BO76</f>
        <v>0</v>
      </c>
      <c r="I32" s="140">
        <f>'4 bbb Önkorm'!BP76</f>
        <v>0</v>
      </c>
      <c r="J32" s="141">
        <f>'4 bbb Önkorm'!BQ76</f>
        <v>0</v>
      </c>
      <c r="K32" s="142">
        <f>'4 bbb Önkorm'!BR76</f>
        <v>2316743</v>
      </c>
      <c r="L32" s="38">
        <f>'4 bbb Önkorm'!BS76</f>
        <v>1000000</v>
      </c>
      <c r="M32" s="138"/>
      <c r="N32" s="140">
        <f t="shared" si="0"/>
        <v>0</v>
      </c>
      <c r="O32" s="140">
        <f t="shared" si="1"/>
        <v>0</v>
      </c>
      <c r="P32" s="140">
        <f t="shared" si="2"/>
        <v>0</v>
      </c>
      <c r="Q32" s="140">
        <f t="shared" si="3"/>
        <v>2516743</v>
      </c>
      <c r="R32" s="140">
        <f t="shared" si="4"/>
        <v>1207850</v>
      </c>
      <c r="S32" s="138"/>
    </row>
    <row r="33" spans="1:19" s="110" customFormat="1" ht="18.75" customHeight="1">
      <c r="A33" s="182" t="s">
        <v>103</v>
      </c>
      <c r="B33" s="183">
        <f>SUM(B10+B16+B25+B30)</f>
        <v>1744321787</v>
      </c>
      <c r="C33" s="183">
        <f>SUM(C10+C16+C25+C30)</f>
        <v>1785062567</v>
      </c>
      <c r="D33" s="183">
        <f>SUM(D10+D16+D25+D30)</f>
        <v>-727098</v>
      </c>
      <c r="E33" s="183">
        <f>SUM(E10+E16+E25+E30)</f>
        <v>1904783882</v>
      </c>
      <c r="F33" s="183">
        <f>SUM(F10+F16+F25+F30)</f>
        <v>1902815279</v>
      </c>
      <c r="G33" s="184">
        <f>F33/E33</f>
        <v>0.999</v>
      </c>
      <c r="H33" s="183">
        <f>SUM(H10+H16+H25+H30)</f>
        <v>11099152498</v>
      </c>
      <c r="I33" s="183">
        <f>SUM(I10+I16+I25+I30)</f>
        <v>11278044399</v>
      </c>
      <c r="J33" s="183">
        <f>SUM(J10+J16+J25+J30)</f>
        <v>996748</v>
      </c>
      <c r="K33" s="183">
        <f>SUM(K10+K16+K25+K30)</f>
        <v>11709650300</v>
      </c>
      <c r="L33" s="183">
        <f>SUM(L10+L16+L25+L30)</f>
        <v>11641920621</v>
      </c>
      <c r="M33" s="184">
        <f>L33/K33</f>
        <v>0.99419999999999997</v>
      </c>
      <c r="N33" s="183">
        <f>SUM(N10+N16+N25+N30)</f>
        <v>12843474285</v>
      </c>
      <c r="O33" s="183">
        <f>SUM(O10+O16+O25+O30)</f>
        <v>13063106966</v>
      </c>
      <c r="P33" s="183">
        <f>SUM(P10+P16+P25+P30)</f>
        <v>269650</v>
      </c>
      <c r="Q33" s="183">
        <f>SUM(Q10+Q16+Q25+Q30)</f>
        <v>13614434182</v>
      </c>
      <c r="R33" s="183">
        <f>SUM(R10+R16+R25+R30)</f>
        <v>13544735900</v>
      </c>
      <c r="S33" s="184">
        <f>R33/Q33</f>
        <v>0.99490000000000001</v>
      </c>
    </row>
    <row r="34" spans="1:19" s="110" customFormat="1" ht="13.5" customHeight="1">
      <c r="A34" s="120"/>
      <c r="B34" s="185"/>
      <c r="C34" s="186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8"/>
      <c r="S34" s="187"/>
    </row>
    <row r="35" spans="1:19" s="110" customFormat="1" ht="21" customHeight="1">
      <c r="A35" s="120" t="s">
        <v>104</v>
      </c>
      <c r="B35" s="189"/>
      <c r="C35" s="190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2"/>
      <c r="S35" s="191"/>
    </row>
    <row r="36" spans="1:19" s="110" customFormat="1" ht="15" customHeight="1">
      <c r="A36" s="126" t="s">
        <v>105</v>
      </c>
      <c r="B36" s="166">
        <f>SUM('4 a Intézmények'!CD78+'4 ba Polg Hiv'!BC82)</f>
        <v>0</v>
      </c>
      <c r="C36" s="166">
        <f>SUM('4 a Intézmények'!CE78+'4 ba Polg Hiv'!BD82)</f>
        <v>0</v>
      </c>
      <c r="D36" s="166">
        <f>SUM('4 a Intézmények'!CF78+'4 ba Polg Hiv'!BE82)</f>
        <v>0</v>
      </c>
      <c r="E36" s="166">
        <f>SUM('4 a Intézmények'!CG78+'4 ba Polg Hiv'!BF82)</f>
        <v>1244055</v>
      </c>
      <c r="F36" s="166">
        <f>SUM('4 a Intézmények'!CH78+'4 ba Polg Hiv'!BG82)</f>
        <v>1259055</v>
      </c>
      <c r="G36" s="144"/>
      <c r="H36" s="145">
        <f>'4 bbb Önkorm'!BO78</f>
        <v>286000000</v>
      </c>
      <c r="I36" s="145">
        <f>'4 bbb Önkorm'!BP78</f>
        <v>306000000</v>
      </c>
      <c r="J36" s="145">
        <f>'4 bbb Önkorm'!BQ78</f>
        <v>0</v>
      </c>
      <c r="K36" s="145">
        <f>'4 bbb Önkorm'!BR78</f>
        <v>306034191</v>
      </c>
      <c r="L36" s="145">
        <f>'4 bbb Önkorm'!BS78</f>
        <v>262864046</v>
      </c>
      <c r="M36" s="144">
        <f>L36/K36</f>
        <v>0.8589</v>
      </c>
      <c r="N36" s="47">
        <f t="shared" ref="N36:N44" si="7">SUM(B36+H36)</f>
        <v>286000000</v>
      </c>
      <c r="O36" s="47">
        <f t="shared" ref="O36:O44" si="8">SUM(C36+I36)</f>
        <v>306000000</v>
      </c>
      <c r="P36" s="47">
        <f t="shared" ref="P36:P44" si="9">SUM(D36+J36)</f>
        <v>0</v>
      </c>
      <c r="Q36" s="47">
        <f t="shared" ref="Q36:Q44" si="10">SUM(E36+K36)</f>
        <v>307278246</v>
      </c>
      <c r="R36" s="47">
        <f t="shared" ref="R36:R44" si="11">SUM(F36+L36)</f>
        <v>264123101</v>
      </c>
      <c r="S36" s="144">
        <f>R36/Q36</f>
        <v>0.85960000000000003</v>
      </c>
    </row>
    <row r="37" spans="1:19" s="110" customFormat="1" ht="15" customHeight="1">
      <c r="A37" s="126" t="s">
        <v>106</v>
      </c>
      <c r="B37" s="166">
        <f>SUM(B38:B41)</f>
        <v>0</v>
      </c>
      <c r="C37" s="166">
        <f>SUM(C38:C41)</f>
        <v>7095930</v>
      </c>
      <c r="D37" s="166">
        <f>SUM(D38:D41)</f>
        <v>0</v>
      </c>
      <c r="E37" s="166">
        <f>SUM(E38:E41)</f>
        <v>6993334</v>
      </c>
      <c r="F37" s="166">
        <f>SUM(F38:F41)</f>
        <v>5793334</v>
      </c>
      <c r="G37" s="144">
        <f>F37/E37</f>
        <v>0.82840000000000003</v>
      </c>
      <c r="H37" s="166">
        <f>SUM(H38:H41)</f>
        <v>715178000</v>
      </c>
      <c r="I37" s="166">
        <f>SUM(I38:I41)</f>
        <v>715178000</v>
      </c>
      <c r="J37" s="166">
        <f>SUM(J38:J41)</f>
        <v>33342000</v>
      </c>
      <c r="K37" s="166">
        <f>SUM(K38:K41)</f>
        <v>758225868</v>
      </c>
      <c r="L37" s="166">
        <f>SUM(L38:L41)</f>
        <v>758225868</v>
      </c>
      <c r="M37" s="193">
        <f>L37/K37</f>
        <v>1</v>
      </c>
      <c r="N37" s="142">
        <f t="shared" si="7"/>
        <v>715178000</v>
      </c>
      <c r="O37" s="142">
        <f t="shared" si="8"/>
        <v>722273930</v>
      </c>
      <c r="P37" s="142">
        <f t="shared" si="9"/>
        <v>33342000</v>
      </c>
      <c r="Q37" s="142">
        <f t="shared" si="10"/>
        <v>765219202</v>
      </c>
      <c r="R37" s="142">
        <f t="shared" si="11"/>
        <v>764019202</v>
      </c>
      <c r="S37" s="193">
        <f>R37/Q37</f>
        <v>0.99839999999999995</v>
      </c>
    </row>
    <row r="38" spans="1:19" s="110" customFormat="1" ht="15" customHeight="1">
      <c r="A38" s="194" t="s">
        <v>107</v>
      </c>
      <c r="B38" s="168">
        <f>'4 a Intézmények'!CD80+'4 ba Polg Hiv'!BC84</f>
        <v>0</v>
      </c>
      <c r="C38" s="168">
        <f>'4 a Intézmények'!CE80+'4 ba Polg Hiv'!BD84</f>
        <v>0</v>
      </c>
      <c r="D38" s="195">
        <f>'4 a Intézmények'!CF80+'4 ba Polg Hiv'!BE84</f>
        <v>0</v>
      </c>
      <c r="E38" s="133">
        <f>'4 a Intézmények'!CG80+'4 ba Polg Hiv'!BF84</f>
        <v>0</v>
      </c>
      <c r="F38" s="133">
        <f>'4 a Intézmények'!CH80+'4 ba Polg Hiv'!BG84</f>
        <v>0</v>
      </c>
      <c r="G38" s="135"/>
      <c r="H38" s="134">
        <f>'4 bbb Önkorm'!BO80</f>
        <v>0</v>
      </c>
      <c r="I38" s="134">
        <f>'4 bbb Önkorm'!BP80</f>
        <v>0</v>
      </c>
      <c r="J38" s="139">
        <f>'4 bbb Önkorm'!BQ80</f>
        <v>743400000</v>
      </c>
      <c r="K38" s="38">
        <f>'4 bbb Önkorm'!BR80</f>
        <v>746917000</v>
      </c>
      <c r="L38" s="38">
        <f>'4 bbb Önkorm'!BS80</f>
        <v>746917000</v>
      </c>
      <c r="M38" s="138">
        <f>L38/K38</f>
        <v>1</v>
      </c>
      <c r="N38" s="38">
        <f t="shared" si="7"/>
        <v>0</v>
      </c>
      <c r="O38" s="38">
        <f t="shared" si="8"/>
        <v>0</v>
      </c>
      <c r="P38" s="38">
        <f t="shared" si="9"/>
        <v>743400000</v>
      </c>
      <c r="Q38" s="38">
        <f t="shared" si="10"/>
        <v>746917000</v>
      </c>
      <c r="R38" s="38">
        <f t="shared" si="11"/>
        <v>746917000</v>
      </c>
      <c r="S38" s="138">
        <f>R38/Q38</f>
        <v>1</v>
      </c>
    </row>
    <row r="39" spans="1:19" s="110" customFormat="1" ht="15" customHeight="1">
      <c r="A39" s="194" t="s">
        <v>108</v>
      </c>
      <c r="B39" s="131"/>
      <c r="C39" s="131"/>
      <c r="D39" s="39"/>
      <c r="E39" s="134"/>
      <c r="F39" s="134"/>
      <c r="G39" s="135"/>
      <c r="H39" s="134">
        <f>'4 bbb Önkorm'!BO81</f>
        <v>0</v>
      </c>
      <c r="I39" s="134">
        <f>'4 bbb Önkorm'!BP81</f>
        <v>0</v>
      </c>
      <c r="J39" s="139">
        <f>'4 bbb Önkorm'!BQ81</f>
        <v>0</v>
      </c>
      <c r="K39" s="38">
        <f>'4 bbb Önkorm'!BR81</f>
        <v>0</v>
      </c>
      <c r="L39" s="38">
        <f>'4 bbb Önkorm'!BS81</f>
        <v>0</v>
      </c>
      <c r="M39" s="138"/>
      <c r="N39" s="38">
        <f t="shared" si="7"/>
        <v>0</v>
      </c>
      <c r="O39" s="38">
        <f t="shared" si="8"/>
        <v>0</v>
      </c>
      <c r="P39" s="38">
        <f t="shared" si="9"/>
        <v>0</v>
      </c>
      <c r="Q39" s="38">
        <f t="shared" si="10"/>
        <v>0</v>
      </c>
      <c r="R39" s="38">
        <f t="shared" si="11"/>
        <v>0</v>
      </c>
      <c r="S39" s="138"/>
    </row>
    <row r="40" spans="1:19" s="110" customFormat="1" ht="15" customHeight="1">
      <c r="A40" s="194" t="s">
        <v>109</v>
      </c>
      <c r="B40" s="131">
        <f>'4 a Intézmények'!CD82+'4 ba Polg Hiv'!BC86</f>
        <v>0</v>
      </c>
      <c r="C40" s="131">
        <f>'4 a Intézmények'!CE82+'4 ba Polg Hiv'!BD86</f>
        <v>7095930</v>
      </c>
      <c r="D40" s="39">
        <f>'4 a Intézmények'!CF82+'4 ba Polg Hiv'!BE86</f>
        <v>0</v>
      </c>
      <c r="E40" s="134">
        <f>'4 a Intézmények'!CG82+'4 ba Polg Hiv'!BF86</f>
        <v>6993334</v>
      </c>
      <c r="F40" s="134">
        <f>'4 a Intézmények'!CH82+'4 ba Polg Hiv'!BG86</f>
        <v>5793334</v>
      </c>
      <c r="G40" s="135">
        <f>F40/E40</f>
        <v>0.82840000000000003</v>
      </c>
      <c r="H40" s="134">
        <f>'4 bbb Önkorm'!BO82</f>
        <v>715178000</v>
      </c>
      <c r="I40" s="134">
        <f>'4 bbb Önkorm'!BP82</f>
        <v>715178000</v>
      </c>
      <c r="J40" s="139">
        <f>'4 bbb Önkorm'!BQ82</f>
        <v>-710058000</v>
      </c>
      <c r="K40" s="38">
        <f>'4 bbb Önkorm'!BR82</f>
        <v>11308868</v>
      </c>
      <c r="L40" s="38">
        <f>'4 bbb Önkorm'!BS82</f>
        <v>11308868</v>
      </c>
      <c r="M40" s="138">
        <f>L40/K40</f>
        <v>1</v>
      </c>
      <c r="N40" s="38">
        <f t="shared" si="7"/>
        <v>715178000</v>
      </c>
      <c r="O40" s="38">
        <f t="shared" si="8"/>
        <v>722273930</v>
      </c>
      <c r="P40" s="38">
        <f t="shared" si="9"/>
        <v>-710058000</v>
      </c>
      <c r="Q40" s="38">
        <f t="shared" si="10"/>
        <v>18302202</v>
      </c>
      <c r="R40" s="38">
        <f t="shared" si="11"/>
        <v>17102202</v>
      </c>
      <c r="S40" s="138">
        <f>R40/Q40</f>
        <v>0.93440000000000001</v>
      </c>
    </row>
    <row r="41" spans="1:19" s="110" customFormat="1" ht="15" customHeight="1">
      <c r="A41" s="194" t="s">
        <v>86</v>
      </c>
      <c r="B41" s="196">
        <f>'4 a Intézmények'!CD83</f>
        <v>0</v>
      </c>
      <c r="C41" s="196">
        <f>'4 a Intézmények'!CE83</f>
        <v>0</v>
      </c>
      <c r="D41" s="197">
        <f>'4 a Intézmények'!CF83</f>
        <v>0</v>
      </c>
      <c r="E41" s="140">
        <f>'4 a Intézmények'!CG83</f>
        <v>0</v>
      </c>
      <c r="F41" s="140">
        <f>'4 a Intézmények'!CH83</f>
        <v>0</v>
      </c>
      <c r="G41" s="198"/>
      <c r="H41" s="140">
        <f>'4 bbb Önkorm'!BO83</f>
        <v>0</v>
      </c>
      <c r="I41" s="140">
        <f>'4 bbb Önkorm'!BP83</f>
        <v>0</v>
      </c>
      <c r="J41" s="139"/>
      <c r="K41" s="38">
        <f>'4 bbb Önkorm'!BR83</f>
        <v>0</v>
      </c>
      <c r="L41" s="38">
        <f>'4 bbb Önkorm'!BS83</f>
        <v>0</v>
      </c>
      <c r="M41" s="138"/>
      <c r="N41" s="38">
        <f t="shared" si="7"/>
        <v>0</v>
      </c>
      <c r="O41" s="38">
        <f t="shared" si="8"/>
        <v>0</v>
      </c>
      <c r="P41" s="38">
        <f t="shared" si="9"/>
        <v>0</v>
      </c>
      <c r="Q41" s="38">
        <f t="shared" si="10"/>
        <v>0</v>
      </c>
      <c r="R41" s="38">
        <f t="shared" si="11"/>
        <v>0</v>
      </c>
      <c r="S41" s="138"/>
    </row>
    <row r="42" spans="1:19" s="110" customFormat="1" ht="15" customHeight="1">
      <c r="A42" s="126" t="s">
        <v>110</v>
      </c>
      <c r="B42" s="127">
        <f>SUM(B43:B44)</f>
        <v>0</v>
      </c>
      <c r="C42" s="127">
        <f>SUM(C43:C44)</f>
        <v>0</v>
      </c>
      <c r="D42" s="127">
        <f>SUM(D43:D44)</f>
        <v>0</v>
      </c>
      <c r="E42" s="127">
        <f>SUM(E43:E44)</f>
        <v>175260</v>
      </c>
      <c r="F42" s="127">
        <f>SUM(F43:F44)</f>
        <v>175260</v>
      </c>
      <c r="G42" s="199"/>
      <c r="H42" s="127">
        <f>SUM(H43:H44)</f>
        <v>85300000</v>
      </c>
      <c r="I42" s="127">
        <f>SUM(I43:I44)</f>
        <v>85300000</v>
      </c>
      <c r="J42" s="127">
        <f>SUM(J43:J44)</f>
        <v>0</v>
      </c>
      <c r="K42" s="127">
        <f>SUM(K43:K44)</f>
        <v>101101641</v>
      </c>
      <c r="L42" s="127">
        <f>SUM(L43:L44)</f>
        <v>93968995</v>
      </c>
      <c r="M42" s="199">
        <f>L42/K42</f>
        <v>0.92949999999999999</v>
      </c>
      <c r="N42" s="47">
        <f t="shared" si="7"/>
        <v>85300000</v>
      </c>
      <c r="O42" s="47">
        <f t="shared" si="8"/>
        <v>85300000</v>
      </c>
      <c r="P42" s="47">
        <f t="shared" si="9"/>
        <v>0</v>
      </c>
      <c r="Q42" s="47">
        <f t="shared" si="10"/>
        <v>101276901</v>
      </c>
      <c r="R42" s="47">
        <f t="shared" si="11"/>
        <v>94144255</v>
      </c>
      <c r="S42" s="199">
        <f>R42/Q42</f>
        <v>0.92959999999999998</v>
      </c>
    </row>
    <row r="43" spans="1:19" s="110" customFormat="1" ht="15" customHeight="1">
      <c r="A43" s="129" t="s">
        <v>111</v>
      </c>
      <c r="B43" s="200"/>
      <c r="C43" s="200"/>
      <c r="D43" s="195"/>
      <c r="E43" s="137"/>
      <c r="F43" s="137"/>
      <c r="G43" s="199"/>
      <c r="H43" s="200">
        <f>'4 bbb Önkorm'!BO84</f>
        <v>80300000</v>
      </c>
      <c r="I43" s="200">
        <f>'4 bbb Önkorm'!BP84</f>
        <v>80300000</v>
      </c>
      <c r="J43" s="195">
        <f>'4 bbb Önkorm'!BQ84</f>
        <v>0</v>
      </c>
      <c r="K43" s="137">
        <f>'4 bbb Önkorm'!BR84</f>
        <v>87601641</v>
      </c>
      <c r="L43" s="137">
        <f>'4 bbb Önkorm'!BS84</f>
        <v>82046717</v>
      </c>
      <c r="M43" s="199">
        <f>L43/K43</f>
        <v>0.93659999999999999</v>
      </c>
      <c r="N43" s="200">
        <f t="shared" si="7"/>
        <v>80300000</v>
      </c>
      <c r="O43" s="200">
        <f t="shared" si="8"/>
        <v>80300000</v>
      </c>
      <c r="P43" s="200">
        <f t="shared" si="9"/>
        <v>0</v>
      </c>
      <c r="Q43" s="200">
        <f t="shared" si="10"/>
        <v>87601641</v>
      </c>
      <c r="R43" s="200">
        <f t="shared" si="11"/>
        <v>82046717</v>
      </c>
      <c r="S43" s="199">
        <f>R43/Q43</f>
        <v>0.93659999999999999</v>
      </c>
    </row>
    <row r="44" spans="1:19" s="110" customFormat="1" ht="15" customHeight="1">
      <c r="A44" s="129" t="s">
        <v>112</v>
      </c>
      <c r="B44" s="201">
        <f>'4 a Intézmények'!CD85+'4 ba Polg Hiv'!BC89</f>
        <v>0</v>
      </c>
      <c r="C44" s="201">
        <f>'4 a Intézmények'!CE85+'4 ba Polg Hiv'!BD89</f>
        <v>0</v>
      </c>
      <c r="D44" s="197">
        <f>'4 a Intézmények'!CF85+'4 ba Polg Hiv'!BE89</f>
        <v>0</v>
      </c>
      <c r="E44" s="142">
        <f>'4 a Intézmények'!CG85+'4 ba Polg Hiv'!BF89</f>
        <v>175260</v>
      </c>
      <c r="F44" s="142">
        <f>'4 a Intézmények'!CH85+'4 ba Polg Hiv'!BG89</f>
        <v>175260</v>
      </c>
      <c r="G44" s="193"/>
      <c r="H44" s="201">
        <f>'4 bbb Önkorm'!BO85</f>
        <v>5000000</v>
      </c>
      <c r="I44" s="201">
        <f>'4 bbb Önkorm'!BP85</f>
        <v>5000000</v>
      </c>
      <c r="J44" s="197">
        <f>'4 bbb Önkorm'!BQ85</f>
        <v>0</v>
      </c>
      <c r="K44" s="142">
        <f>'4 bbb Önkorm'!BR85</f>
        <v>13500000</v>
      </c>
      <c r="L44" s="142">
        <f>'4 bbb Önkorm'!BS85</f>
        <v>11922278</v>
      </c>
      <c r="M44" s="193">
        <f>L44/K44</f>
        <v>0.8831</v>
      </c>
      <c r="N44" s="201">
        <f t="shared" si="7"/>
        <v>5000000</v>
      </c>
      <c r="O44" s="201">
        <f t="shared" si="8"/>
        <v>5000000</v>
      </c>
      <c r="P44" s="201">
        <f t="shared" si="9"/>
        <v>0</v>
      </c>
      <c r="Q44" s="201">
        <f t="shared" si="10"/>
        <v>13675260</v>
      </c>
      <c r="R44" s="201">
        <f t="shared" si="11"/>
        <v>12097538</v>
      </c>
      <c r="S44" s="193">
        <f>R44/Q44</f>
        <v>0.88460000000000005</v>
      </c>
    </row>
    <row r="45" spans="1:19" s="110" customFormat="1" ht="18.75" customHeight="1">
      <c r="A45" s="182" t="s">
        <v>113</v>
      </c>
      <c r="B45" s="183">
        <f>SUM(B36+B37+B42)</f>
        <v>0</v>
      </c>
      <c r="C45" s="183">
        <f>SUM(C36+C37+C42)</f>
        <v>7095930</v>
      </c>
      <c r="D45" s="183">
        <f>SUM(D36+D37+D42)</f>
        <v>0</v>
      </c>
      <c r="E45" s="183">
        <f>SUM(E36+E37+E42)</f>
        <v>8412649</v>
      </c>
      <c r="F45" s="183">
        <f>SUM(F36+F37+F42)</f>
        <v>7227649</v>
      </c>
      <c r="G45" s="184">
        <f>F45/E45</f>
        <v>0.85909999999999997</v>
      </c>
      <c r="H45" s="183">
        <f>SUM(H36+H37+H42)</f>
        <v>1086478000</v>
      </c>
      <c r="I45" s="183">
        <f>SUM(I36+I37+I42)</f>
        <v>1106478000</v>
      </c>
      <c r="J45" s="183">
        <f>SUM(J36+J37+J42)</f>
        <v>33342000</v>
      </c>
      <c r="K45" s="183">
        <f>SUM(K36+K37+K42)</f>
        <v>1165361700</v>
      </c>
      <c r="L45" s="183">
        <f>SUM(L36+L37+L42)</f>
        <v>1115058909</v>
      </c>
      <c r="M45" s="184">
        <f>L45/K45</f>
        <v>0.95679999999999998</v>
      </c>
      <c r="N45" s="183">
        <f>SUM(N36+N37+N42)</f>
        <v>1086478000</v>
      </c>
      <c r="O45" s="183">
        <f>SUM(O36+O37+O42)</f>
        <v>1113573930</v>
      </c>
      <c r="P45" s="183">
        <f>SUM(P36+P37+P42)</f>
        <v>33342000</v>
      </c>
      <c r="Q45" s="183">
        <f>SUM(Q36+Q37+Q42)</f>
        <v>1173774349</v>
      </c>
      <c r="R45" s="183">
        <f>SUM(R36+R37+R42)</f>
        <v>1122286558</v>
      </c>
      <c r="S45" s="184">
        <f>R45/Q45</f>
        <v>0.95609999999999995</v>
      </c>
    </row>
    <row r="46" spans="1:19" s="110" customFormat="1" ht="18.75" customHeight="1">
      <c r="A46" s="182" t="s">
        <v>114</v>
      </c>
      <c r="B46" s="183">
        <f>B33+B45</f>
        <v>1744321787</v>
      </c>
      <c r="C46" s="183">
        <f>C33+C45</f>
        <v>1792158497</v>
      </c>
      <c r="D46" s="183">
        <f>D33+D45</f>
        <v>-727098</v>
      </c>
      <c r="E46" s="183">
        <f>E33+E45</f>
        <v>1913196531</v>
      </c>
      <c r="F46" s="183">
        <f>F33+F45</f>
        <v>1910042928</v>
      </c>
      <c r="G46" s="184">
        <f>F46/E46</f>
        <v>0.99839999999999995</v>
      </c>
      <c r="H46" s="183">
        <f>H33+H45</f>
        <v>12185630498</v>
      </c>
      <c r="I46" s="183">
        <f>I33+I45</f>
        <v>12384522399</v>
      </c>
      <c r="J46" s="183">
        <f>J33+J45</f>
        <v>34338748</v>
      </c>
      <c r="K46" s="183">
        <f>K33+K45</f>
        <v>12875012000</v>
      </c>
      <c r="L46" s="183">
        <f>L33+L45</f>
        <v>12756979530</v>
      </c>
      <c r="M46" s="184">
        <f>L46/K46</f>
        <v>0.99080000000000001</v>
      </c>
      <c r="N46" s="183">
        <f>N33+N45</f>
        <v>13929952285</v>
      </c>
      <c r="O46" s="183">
        <f>O33+O45</f>
        <v>14176680896</v>
      </c>
      <c r="P46" s="183">
        <f>P33+P45</f>
        <v>33611650</v>
      </c>
      <c r="Q46" s="183">
        <f>Q33+Q45</f>
        <v>14788208531</v>
      </c>
      <c r="R46" s="183">
        <f>R33+R45</f>
        <v>14667022458</v>
      </c>
      <c r="S46" s="184">
        <f>R46/Q46</f>
        <v>0.99180000000000001</v>
      </c>
    </row>
    <row r="47" spans="1:19" s="110" customFormat="1" ht="11.25" customHeight="1">
      <c r="A47" s="194"/>
      <c r="B47" s="202"/>
      <c r="C47" s="203"/>
      <c r="D47" s="204"/>
      <c r="E47" s="204"/>
      <c r="F47" s="204"/>
      <c r="G47" s="204"/>
      <c r="H47" s="204"/>
      <c r="I47" s="205"/>
      <c r="J47" s="205"/>
      <c r="K47" s="204"/>
      <c r="L47" s="204"/>
      <c r="M47" s="204"/>
      <c r="N47" s="204"/>
      <c r="O47" s="206"/>
      <c r="P47" s="207"/>
      <c r="Q47" s="208"/>
      <c r="R47" s="209"/>
      <c r="S47" s="204"/>
    </row>
    <row r="48" spans="1:19" s="110" customFormat="1" ht="16.5" thickBot="1">
      <c r="A48" s="120" t="s">
        <v>115</v>
      </c>
      <c r="B48" s="189"/>
      <c r="C48" s="190"/>
      <c r="D48" s="210"/>
      <c r="E48" s="211"/>
      <c r="F48" s="211"/>
      <c r="G48" s="211"/>
      <c r="H48" s="211"/>
      <c r="I48" s="191"/>
      <c r="J48" s="191"/>
      <c r="K48" s="210"/>
      <c r="L48" s="210"/>
      <c r="M48" s="210"/>
      <c r="N48" s="210"/>
      <c r="O48" s="210"/>
      <c r="P48" s="212"/>
      <c r="Q48" s="213"/>
      <c r="R48" s="192"/>
      <c r="S48" s="210"/>
    </row>
    <row r="49" spans="1:19" s="110" customFormat="1" ht="15" hidden="1" customHeight="1">
      <c r="A49" s="126" t="s">
        <v>116</v>
      </c>
      <c r="B49" s="214">
        <f>SUM(B50:B51)</f>
        <v>0</v>
      </c>
      <c r="C49" s="215">
        <f>'4 a Intézmények'!CE123+'4 a Intézmények'!CE124+'4 a Intézmények'!CE126+'4 a Intézmények'!CE127+'4 ba Polg Hiv'!BD128+'4 ba Polg Hiv'!BD129+'4 ba Polg Hiv'!BD131+'4 ba Polg Hiv'!BD132</f>
        <v>0</v>
      </c>
      <c r="D49" s="216">
        <f>'4 a Intézmények'!CF123+'4 a Intézmények'!CF124+'4 a Intézmények'!CF126+'4 a Intézmények'!CF127+'4 ba Polg Hiv'!BE128+'4 ba Polg Hiv'!BE129+'4 ba Polg Hiv'!BE131+'4 ba Polg Hiv'!BE132</f>
        <v>0</v>
      </c>
      <c r="E49" s="216">
        <f>SUM(C49+D49)</f>
        <v>0</v>
      </c>
      <c r="F49" s="217">
        <f>C49-B49</f>
        <v>0</v>
      </c>
      <c r="G49" s="218"/>
      <c r="H49" s="219">
        <f>SUM(H50:H51)</f>
        <v>0</v>
      </c>
      <c r="I49" s="220">
        <f>SUM(I50:I51)</f>
        <v>0</v>
      </c>
      <c r="J49" s="214">
        <f>SUM(J50:J51)</f>
        <v>0</v>
      </c>
      <c r="K49" s="221">
        <f t="shared" ref="K49:K54" si="12">SUM(I49+J49)</f>
        <v>0</v>
      </c>
      <c r="L49" s="217">
        <f t="shared" ref="L49:L54" si="13">I49-H49</f>
        <v>0</v>
      </c>
      <c r="M49" s="218"/>
      <c r="N49" s="222">
        <f t="shared" ref="N49:P51" si="14">SUM(B49+H49)</f>
        <v>0</v>
      </c>
      <c r="O49" s="223">
        <f t="shared" si="14"/>
        <v>0</v>
      </c>
      <c r="P49" s="220">
        <f t="shared" si="14"/>
        <v>0</v>
      </c>
      <c r="Q49" s="224">
        <f>SUM(O49+P49)</f>
        <v>0</v>
      </c>
      <c r="R49" s="217">
        <f>O49-N49</f>
        <v>0</v>
      </c>
      <c r="S49" s="218"/>
    </row>
    <row r="50" spans="1:19" s="110" customFormat="1" ht="15.75" hidden="1">
      <c r="A50" s="225" t="s">
        <v>117</v>
      </c>
      <c r="B50" s="226"/>
      <c r="C50" s="227"/>
      <c r="D50" s="228"/>
      <c r="E50" s="229">
        <f>SUM(C50+D50)</f>
        <v>0</v>
      </c>
      <c r="F50" s="188">
        <f>C50-B50</f>
        <v>0</v>
      </c>
      <c r="G50" s="188"/>
      <c r="H50" s="230">
        <f>'4 bbb Önkorm'!BO90</f>
        <v>0</v>
      </c>
      <c r="I50" s="231">
        <f>'4 bbb Önkorm'!BP90</f>
        <v>0</v>
      </c>
      <c r="J50" s="232">
        <f>'4 bbb Önkorm'!BQ90</f>
        <v>0</v>
      </c>
      <c r="K50" s="233">
        <f t="shared" si="12"/>
        <v>0</v>
      </c>
      <c r="L50" s="188">
        <f t="shared" si="13"/>
        <v>0</v>
      </c>
      <c r="M50" s="188"/>
      <c r="N50" s="234">
        <f t="shared" si="14"/>
        <v>0</v>
      </c>
      <c r="O50" s="235">
        <f t="shared" si="14"/>
        <v>0</v>
      </c>
      <c r="P50" s="236">
        <f t="shared" si="14"/>
        <v>0</v>
      </c>
      <c r="Q50" s="237">
        <f>SUM(O50+P50)</f>
        <v>0</v>
      </c>
      <c r="R50" s="116">
        <f>O50-N50</f>
        <v>0</v>
      </c>
      <c r="S50" s="188"/>
    </row>
    <row r="51" spans="1:19" s="110" customFormat="1" ht="15.75" hidden="1">
      <c r="A51" s="225" t="s">
        <v>118</v>
      </c>
      <c r="B51" s="226"/>
      <c r="C51" s="238"/>
      <c r="D51" s="239"/>
      <c r="E51" s="240">
        <f>SUM(C51+D51)</f>
        <v>0</v>
      </c>
      <c r="F51" s="188">
        <f>C51-B51</f>
        <v>0</v>
      </c>
      <c r="G51" s="188"/>
      <c r="H51" s="241">
        <f>'4 bbb Önkorm'!BO91</f>
        <v>0</v>
      </c>
      <c r="I51" s="242">
        <f>'4 bbb Önkorm'!BP91</f>
        <v>0</v>
      </c>
      <c r="J51" s="243">
        <f>'4 bbb Önkorm'!BQ91</f>
        <v>0</v>
      </c>
      <c r="K51" s="244">
        <f t="shared" si="12"/>
        <v>0</v>
      </c>
      <c r="L51" s="188">
        <f t="shared" si="13"/>
        <v>0</v>
      </c>
      <c r="M51" s="188"/>
      <c r="N51" s="245">
        <f t="shared" si="14"/>
        <v>0</v>
      </c>
      <c r="O51" s="246">
        <f t="shared" si="14"/>
        <v>0</v>
      </c>
      <c r="P51" s="247">
        <f t="shared" si="14"/>
        <v>0</v>
      </c>
      <c r="Q51" s="248">
        <f>SUM(O51+P51)</f>
        <v>0</v>
      </c>
      <c r="R51" s="116">
        <f>O51-N51</f>
        <v>0</v>
      </c>
      <c r="S51" s="188"/>
    </row>
    <row r="52" spans="1:19" s="110" customFormat="1" ht="16.5" thickBot="1">
      <c r="A52" s="126" t="s">
        <v>119</v>
      </c>
      <c r="B52" s="249">
        <f>SUM(B53:B54)</f>
        <v>0</v>
      </c>
      <c r="C52" s="249">
        <f>SUM(C53:C54)</f>
        <v>0</v>
      </c>
      <c r="D52" s="249">
        <f>SUM(D53:D54)</f>
        <v>0</v>
      </c>
      <c r="E52" s="214"/>
      <c r="F52" s="250"/>
      <c r="G52" s="223"/>
      <c r="H52" s="249">
        <f>SUM(H53:H54)</f>
        <v>0</v>
      </c>
      <c r="I52" s="249">
        <f>SUM(I53:I54)</f>
        <v>0</v>
      </c>
      <c r="J52" s="249">
        <f>SUM(J53:J54)</f>
        <v>0</v>
      </c>
      <c r="K52" s="249">
        <f>SUM(K53:K54)</f>
        <v>5890000000</v>
      </c>
      <c r="L52" s="249">
        <f>SUM(L53:L54)</f>
        <v>5890000000</v>
      </c>
      <c r="M52" s="1671">
        <f>L52/K52</f>
        <v>1</v>
      </c>
      <c r="N52" s="249">
        <f>SUM(N53:N54)</f>
        <v>0</v>
      </c>
      <c r="O52" s="249">
        <f>SUM(O53:O54)</f>
        <v>0</v>
      </c>
      <c r="P52" s="249">
        <f>SUM(P53:P54)</f>
        <v>0</v>
      </c>
      <c r="Q52" s="249">
        <f>SUM(Q53:Q54)</f>
        <v>5890000000</v>
      </c>
      <c r="R52" s="249">
        <f>SUM(R53:R54)</f>
        <v>5890000000</v>
      </c>
      <c r="S52" s="1671">
        <f>R52/Q52</f>
        <v>1</v>
      </c>
    </row>
    <row r="53" spans="1:19" s="110" customFormat="1" ht="15.75">
      <c r="A53" s="129" t="s">
        <v>120</v>
      </c>
      <c r="B53" s="226"/>
      <c r="C53" s="238"/>
      <c r="D53" s="239"/>
      <c r="E53" s="240">
        <f>SUM(C53+D53)</f>
        <v>0</v>
      </c>
      <c r="F53" s="251"/>
      <c r="G53" s="246"/>
      <c r="H53" s="230">
        <f>'4 bbb Önkorm'!BO93</f>
        <v>0</v>
      </c>
      <c r="I53" s="230">
        <f>'4 bbb Önkorm'!BP93</f>
        <v>0</v>
      </c>
      <c r="J53" s="230">
        <f>'4 bbb Önkorm'!BQ93</f>
        <v>0</v>
      </c>
      <c r="K53" s="230">
        <f>'4 bbb Önkorm'!BR93</f>
        <v>5890000000</v>
      </c>
      <c r="L53" s="230">
        <f>'4 bbb Önkorm'!BS93</f>
        <v>5890000000</v>
      </c>
      <c r="M53" s="1672">
        <f>L53/K53</f>
        <v>1</v>
      </c>
      <c r="N53" s="255">
        <f>SUM(B53+H53)</f>
        <v>0</v>
      </c>
      <c r="O53" s="246">
        <f t="shared" ref="O53:O71" si="15">SUM(C53+I53)</f>
        <v>0</v>
      </c>
      <c r="P53" s="247">
        <f t="shared" ref="P53:P71" si="16">SUM(D53+J53)</f>
        <v>0</v>
      </c>
      <c r="Q53" s="248">
        <f t="shared" ref="Q53:Q55" si="17">SUM(E53+K53)</f>
        <v>5890000000</v>
      </c>
      <c r="R53" s="251">
        <f>SUM(F53+L53)</f>
        <v>5890000000</v>
      </c>
      <c r="S53" s="1672">
        <f>R53/Q53</f>
        <v>1</v>
      </c>
    </row>
    <row r="54" spans="1:19" s="110" customFormat="1" ht="16.5" thickBot="1">
      <c r="A54" s="129" t="s">
        <v>121</v>
      </c>
      <c r="B54" s="226"/>
      <c r="C54" s="238"/>
      <c r="D54" s="239"/>
      <c r="E54" s="240">
        <f>SUM(C54+D54)</f>
        <v>0</v>
      </c>
      <c r="F54" s="251"/>
      <c r="G54" s="246"/>
      <c r="H54" s="241">
        <f>'4 bbb Önkorm'!BO94</f>
        <v>0</v>
      </c>
      <c r="I54" s="252">
        <f>'4 bbb Önkorm'!BP94</f>
        <v>0</v>
      </c>
      <c r="J54" s="253">
        <f>'4 bbb Önkorm'!BQ94</f>
        <v>0</v>
      </c>
      <c r="K54" s="244">
        <f t="shared" si="12"/>
        <v>0</v>
      </c>
      <c r="L54" s="254">
        <f t="shared" si="13"/>
        <v>0</v>
      </c>
      <c r="M54" s="255"/>
      <c r="N54" s="255">
        <f>SUM(B54+H54)</f>
        <v>0</v>
      </c>
      <c r="O54" s="246">
        <f t="shared" si="15"/>
        <v>0</v>
      </c>
      <c r="P54" s="247">
        <f t="shared" si="16"/>
        <v>0</v>
      </c>
      <c r="Q54" s="256">
        <f t="shared" si="17"/>
        <v>0</v>
      </c>
      <c r="R54" s="251">
        <f>SUM(F54+L54)</f>
        <v>0</v>
      </c>
      <c r="S54" s="255"/>
    </row>
    <row r="55" spans="1:19" s="110" customFormat="1" ht="15.75">
      <c r="A55" s="126" t="s">
        <v>122</v>
      </c>
      <c r="B55" s="145">
        <f>SUM(B56:B57)</f>
        <v>18919000</v>
      </c>
      <c r="C55" s="145">
        <f>SUM(C56:C57)</f>
        <v>266697689</v>
      </c>
      <c r="D55" s="145">
        <f>SUM(D56:D57)</f>
        <v>0</v>
      </c>
      <c r="E55" s="145">
        <f>SUM(E56:E57)</f>
        <v>289758586</v>
      </c>
      <c r="F55" s="145">
        <f>SUM(F56:F57)</f>
        <v>289758585</v>
      </c>
      <c r="G55" s="181">
        <f t="shared" ref="G55:G61" si="18">F55/E55</f>
        <v>1</v>
      </c>
      <c r="H55" s="145">
        <f>SUM(H56:H57)</f>
        <v>2400591000</v>
      </c>
      <c r="I55" s="145">
        <f>SUM(I56:I57)</f>
        <v>3669660916</v>
      </c>
      <c r="J55" s="145">
        <f>SUM(J56:J57)</f>
        <v>-1083334</v>
      </c>
      <c r="K55" s="145">
        <f>SUM(K56:K57)</f>
        <v>3936358011</v>
      </c>
      <c r="L55" s="145">
        <f>SUM(L56:L57)</f>
        <v>3936358000</v>
      </c>
      <c r="M55" s="144">
        <f>L55/K55</f>
        <v>1</v>
      </c>
      <c r="N55" s="145">
        <f t="shared" ref="N55:N71" si="19">SUM(B55+H55)</f>
        <v>2419510000</v>
      </c>
      <c r="O55" s="145">
        <f t="shared" si="15"/>
        <v>3936358605</v>
      </c>
      <c r="P55" s="145">
        <f t="shared" si="16"/>
        <v>-1083334</v>
      </c>
      <c r="Q55" s="145">
        <f t="shared" si="17"/>
        <v>4226116597</v>
      </c>
      <c r="R55" s="145">
        <f>SUM(F55+L55)</f>
        <v>4226116585</v>
      </c>
      <c r="S55" s="144">
        <f t="shared" ref="S55:S61" si="20">R55/Q55</f>
        <v>1</v>
      </c>
    </row>
    <row r="56" spans="1:19" s="110" customFormat="1" ht="15.75">
      <c r="A56" s="129" t="s">
        <v>123</v>
      </c>
      <c r="B56" s="131">
        <f>'4 a Intézmények'!CD96+'4 ba Polg Hiv'!BC100</f>
        <v>14928000</v>
      </c>
      <c r="C56" s="131">
        <f>'4 a Intézmények'!CE96+'4 ba Polg Hiv'!BD100</f>
        <v>246992689</v>
      </c>
      <c r="D56" s="132">
        <f>'4 a Intézmények'!CF96+'4 ba Polg Hiv'!BE100</f>
        <v>0</v>
      </c>
      <c r="E56" s="134">
        <f>'4 a Intézmények'!CG96+'4 ba Polg Hiv'!BF100</f>
        <v>270053586</v>
      </c>
      <c r="F56" s="134">
        <f>'4 a Intézmények'!CH96+'4 ba Polg Hiv'!BG100</f>
        <v>270053585</v>
      </c>
      <c r="G56" s="135">
        <f t="shared" si="18"/>
        <v>1</v>
      </c>
      <c r="H56" s="134">
        <f>'4 bbb Önkorm'!BO96</f>
        <v>1139799000</v>
      </c>
      <c r="I56" s="133">
        <f>'4 bbb Önkorm'!BP96</f>
        <v>2059266724</v>
      </c>
      <c r="J56" s="139">
        <f>'4 bbb Önkorm'!BQ96</f>
        <v>-1083334</v>
      </c>
      <c r="K56" s="38">
        <f>'4 bbb Önkorm'!BR96</f>
        <v>2539370190</v>
      </c>
      <c r="L56" s="38">
        <f>'4 bbb Önkorm'!BS96</f>
        <v>2325963808</v>
      </c>
      <c r="M56" s="138">
        <f>L56/K56</f>
        <v>0.91600000000000004</v>
      </c>
      <c r="N56" s="134">
        <f t="shared" si="19"/>
        <v>1154727000</v>
      </c>
      <c r="O56" s="134">
        <f t="shared" si="15"/>
        <v>2306259413</v>
      </c>
      <c r="P56" s="134">
        <f t="shared" si="16"/>
        <v>-1083334</v>
      </c>
      <c r="Q56" s="134">
        <f t="shared" ref="Q56:R71" si="21">SUM(E56+K56)</f>
        <v>2809423776</v>
      </c>
      <c r="R56" s="134">
        <f t="shared" ref="R56:R71" si="22">SUM(F56+L56)</f>
        <v>2596017393</v>
      </c>
      <c r="S56" s="138">
        <f t="shared" si="20"/>
        <v>0.92400000000000004</v>
      </c>
    </row>
    <row r="57" spans="1:19" s="110" customFormat="1" ht="16.5" thickBot="1">
      <c r="A57" s="129" t="s">
        <v>124</v>
      </c>
      <c r="B57" s="131">
        <f>'4 a Intézmények'!CD97+'4 ba Polg Hiv'!BC101</f>
        <v>3991000</v>
      </c>
      <c r="C57" s="131">
        <f>'4 a Intézmények'!CE97+'4 ba Polg Hiv'!BD101</f>
        <v>19705000</v>
      </c>
      <c r="D57" s="132">
        <f>'4 a Intézmények'!CF97+'4 ba Polg Hiv'!BE101</f>
        <v>0</v>
      </c>
      <c r="E57" s="134">
        <f>'4 a Intézmények'!CG97+'4 ba Polg Hiv'!BF101</f>
        <v>19705000</v>
      </c>
      <c r="F57" s="134">
        <f>'4 a Intézmények'!CH97+'4 ba Polg Hiv'!BG101</f>
        <v>19705000</v>
      </c>
      <c r="G57" s="135">
        <f t="shared" si="18"/>
        <v>1</v>
      </c>
      <c r="H57" s="134">
        <f>'4 bbb Önkorm'!BO97</f>
        <v>1260792000</v>
      </c>
      <c r="I57" s="134">
        <f>'4 bbb Önkorm'!BP97</f>
        <v>1610394192</v>
      </c>
      <c r="J57" s="139">
        <f>'4 bbb Önkorm'!BQ97</f>
        <v>0</v>
      </c>
      <c r="K57" s="38">
        <f>'4 bbb Önkorm'!BR97</f>
        <v>1396987821</v>
      </c>
      <c r="L57" s="38">
        <f>'4 bbb Önkorm'!BS97</f>
        <v>1610394192</v>
      </c>
      <c r="M57" s="138">
        <f>L57/K57</f>
        <v>1.1528</v>
      </c>
      <c r="N57" s="134">
        <f t="shared" si="19"/>
        <v>1264783000</v>
      </c>
      <c r="O57" s="134">
        <f t="shared" si="15"/>
        <v>1630099192</v>
      </c>
      <c r="P57" s="134">
        <f t="shared" si="16"/>
        <v>0</v>
      </c>
      <c r="Q57" s="134">
        <f t="shared" si="21"/>
        <v>1416692821</v>
      </c>
      <c r="R57" s="134">
        <f t="shared" si="22"/>
        <v>1630099192</v>
      </c>
      <c r="S57" s="138">
        <f t="shared" si="20"/>
        <v>1.1506000000000001</v>
      </c>
    </row>
    <row r="58" spans="1:19" s="110" customFormat="1" ht="16.5" thickBot="1">
      <c r="A58" s="1673" t="s">
        <v>1340</v>
      </c>
      <c r="B58" s="1674">
        <f>'4 a Intézmények'!CD98+'4 ba Polg Hiv'!BC103</f>
        <v>0</v>
      </c>
      <c r="C58" s="1674">
        <f>'4 a Intézmények'!CE98+'4 ba Polg Hiv'!BD103</f>
        <v>0</v>
      </c>
      <c r="D58" s="1674">
        <f>'4 a Intézmények'!CF98+'4 ba Polg Hiv'!BE103</f>
        <v>0</v>
      </c>
      <c r="E58" s="1674">
        <f>'4 a Intézmények'!CG98+'4 ba Polg Hiv'!BF103</f>
        <v>0</v>
      </c>
      <c r="F58" s="1674">
        <f>'4 a Intézmények'!CH98+'4 ba Polg Hiv'!BG103</f>
        <v>0</v>
      </c>
      <c r="G58" s="1676"/>
      <c r="H58" s="1675">
        <f>'4 bbb Önkorm'!BO98</f>
        <v>0</v>
      </c>
      <c r="I58" s="1675">
        <f>'4 bbb Önkorm'!BP98</f>
        <v>0</v>
      </c>
      <c r="J58" s="1675">
        <f>'4 bbb Önkorm'!BQ98</f>
        <v>0</v>
      </c>
      <c r="K58" s="1675">
        <f>'4 bbb Önkorm'!BR98</f>
        <v>45682781</v>
      </c>
      <c r="L58" s="1675">
        <f>'4 bbb Önkorm'!BS98</f>
        <v>45682781</v>
      </c>
      <c r="M58" s="1677"/>
      <c r="N58" s="145">
        <f t="shared" si="19"/>
        <v>0</v>
      </c>
      <c r="O58" s="145">
        <f t="shared" si="15"/>
        <v>0</v>
      </c>
      <c r="P58" s="145">
        <f t="shared" si="16"/>
        <v>0</v>
      </c>
      <c r="Q58" s="145">
        <f t="shared" si="21"/>
        <v>45682781</v>
      </c>
      <c r="R58" s="145">
        <f t="shared" si="22"/>
        <v>45682781</v>
      </c>
      <c r="S58" s="138">
        <f t="shared" si="20"/>
        <v>1</v>
      </c>
    </row>
    <row r="59" spans="1:19" s="110" customFormat="1" ht="16.5" thickBot="1">
      <c r="A59" s="126" t="s">
        <v>1341</v>
      </c>
      <c r="B59" s="166">
        <f>SUM(B60:B63)</f>
        <v>8124909298</v>
      </c>
      <c r="C59" s="166">
        <f>SUM(C60:C63)</f>
        <v>8412469938</v>
      </c>
      <c r="D59" s="166">
        <f>SUM(D60:D63)</f>
        <v>-207988645</v>
      </c>
      <c r="E59" s="166">
        <f>SUM(E60:E63)</f>
        <v>8290936811</v>
      </c>
      <c r="F59" s="166">
        <f>SUM(F60:F63)</f>
        <v>7463846185</v>
      </c>
      <c r="G59" s="181">
        <f t="shared" si="18"/>
        <v>0.9002</v>
      </c>
      <c r="H59" s="145">
        <f>SUM(H60:H63)</f>
        <v>0</v>
      </c>
      <c r="I59" s="145">
        <f>SUM(I60:I63)</f>
        <v>0</v>
      </c>
      <c r="J59" s="145">
        <f>SUM(J60:J63)</f>
        <v>0</v>
      </c>
      <c r="K59" s="145">
        <f>SUM(K60:K63)</f>
        <v>0</v>
      </c>
      <c r="L59" s="145">
        <f>SUM(L60:L63)</f>
        <v>0</v>
      </c>
      <c r="M59" s="144"/>
      <c r="N59" s="145">
        <f t="shared" si="19"/>
        <v>8124909298</v>
      </c>
      <c r="O59" s="145">
        <f t="shared" si="15"/>
        <v>8412469938</v>
      </c>
      <c r="P59" s="145">
        <f t="shared" si="16"/>
        <v>-207988645</v>
      </c>
      <c r="Q59" s="145">
        <f t="shared" si="21"/>
        <v>8290936811</v>
      </c>
      <c r="R59" s="145">
        <f t="shared" si="22"/>
        <v>7463846185</v>
      </c>
      <c r="S59" s="144">
        <f t="shared" si="20"/>
        <v>0.9002</v>
      </c>
    </row>
    <row r="60" spans="1:19" s="110" customFormat="1" ht="15.75">
      <c r="A60" s="129" t="s">
        <v>125</v>
      </c>
      <c r="B60" s="133">
        <f>'4 a Intézmények'!CD99+'4 ba Polg Hiv'!BC104</f>
        <v>2049522298</v>
      </c>
      <c r="C60" s="133">
        <f>'4 a Intézmények'!CE99+'4 ba Polg Hiv'!BD104</f>
        <v>2084036598</v>
      </c>
      <c r="D60" s="132">
        <f>'4 a Intézmények'!CF99+'4 ba Polg Hiv'!BE104</f>
        <v>23161910</v>
      </c>
      <c r="E60" s="134">
        <f>'4 a Intézmények'!CG99+'4 ba Polg Hiv'!BF104</f>
        <v>2197159113</v>
      </c>
      <c r="F60" s="134">
        <f>'4 a Intézmények'!CH99+'4 ba Polg Hiv'!BG104</f>
        <v>2197159113</v>
      </c>
      <c r="G60" s="135">
        <f t="shared" si="18"/>
        <v>1</v>
      </c>
      <c r="H60" s="134"/>
      <c r="I60" s="133"/>
      <c r="J60" s="139"/>
      <c r="K60" s="38">
        <f>SUM(I60+J60)</f>
        <v>0</v>
      </c>
      <c r="L60" s="38">
        <f>I60-H60</f>
        <v>0</v>
      </c>
      <c r="M60" s="138"/>
      <c r="N60" s="134">
        <f t="shared" si="19"/>
        <v>2049522298</v>
      </c>
      <c r="O60" s="134">
        <f t="shared" si="15"/>
        <v>2084036598</v>
      </c>
      <c r="P60" s="134">
        <f t="shared" si="16"/>
        <v>23161910</v>
      </c>
      <c r="Q60" s="134">
        <f t="shared" si="21"/>
        <v>2197159113</v>
      </c>
      <c r="R60" s="134">
        <f t="shared" si="22"/>
        <v>2197159113</v>
      </c>
      <c r="S60" s="138">
        <f t="shared" si="20"/>
        <v>1</v>
      </c>
    </row>
    <row r="61" spans="1:19" s="110" customFormat="1" ht="15.75">
      <c r="A61" s="129" t="s">
        <v>126</v>
      </c>
      <c r="B61" s="134">
        <f>'4 a Intézmények'!CD100+'4 ba Polg Hiv'!BC105</f>
        <v>5168694000</v>
      </c>
      <c r="C61" s="134">
        <f>'4 a Intézmények'!CE100+'4 ba Polg Hiv'!BD105</f>
        <v>5178738007</v>
      </c>
      <c r="D61" s="132">
        <f>'4 a Intézmények'!CF100+'4 ba Polg Hiv'!BE105</f>
        <v>-26423207</v>
      </c>
      <c r="E61" s="134">
        <f>'4 a Intézmények'!CG100+'4 ba Polg Hiv'!BF105</f>
        <v>5160549464</v>
      </c>
      <c r="F61" s="134">
        <f>'4 a Intézmények'!CH100+'4 ba Polg Hiv'!BG105</f>
        <v>4450264173</v>
      </c>
      <c r="G61" s="135">
        <f t="shared" si="18"/>
        <v>0.86240000000000006</v>
      </c>
      <c r="H61" s="134"/>
      <c r="I61" s="134"/>
      <c r="J61" s="139"/>
      <c r="K61" s="38">
        <f>SUM(I61+J61)</f>
        <v>0</v>
      </c>
      <c r="L61" s="38">
        <f>I61-H61</f>
        <v>0</v>
      </c>
      <c r="M61" s="138"/>
      <c r="N61" s="134">
        <f t="shared" si="19"/>
        <v>5168694000</v>
      </c>
      <c r="O61" s="134">
        <f t="shared" si="15"/>
        <v>5178738007</v>
      </c>
      <c r="P61" s="134">
        <f t="shared" si="16"/>
        <v>-26423207</v>
      </c>
      <c r="Q61" s="134">
        <f t="shared" si="21"/>
        <v>5160549464</v>
      </c>
      <c r="R61" s="134">
        <f t="shared" si="22"/>
        <v>4450264173</v>
      </c>
      <c r="S61" s="138">
        <f t="shared" si="20"/>
        <v>0.86240000000000006</v>
      </c>
    </row>
    <row r="62" spans="1:19" s="110" customFormat="1" ht="15.75">
      <c r="A62" s="129" t="s">
        <v>127</v>
      </c>
      <c r="B62" s="131">
        <f>'4 a Intézmények'!CD101+'4 ba Polg Hiv'!BC106</f>
        <v>0</v>
      </c>
      <c r="C62" s="131">
        <f>'4 a Intézmények'!CE101+'4 ba Polg Hiv'!BD106</f>
        <v>0</v>
      </c>
      <c r="D62" s="132">
        <f>'4 a Intézmények'!CF101+'4 ba Polg Hiv'!BE106</f>
        <v>0</v>
      </c>
      <c r="E62" s="134">
        <f>'4 a Intézmények'!CG101+'4 ba Polg Hiv'!BF106</f>
        <v>3517000</v>
      </c>
      <c r="F62" s="134">
        <f>'4 a Intézmények'!CH101+'4 ba Polg Hiv'!BG106</f>
        <v>3517000</v>
      </c>
      <c r="G62" s="135"/>
      <c r="H62" s="134"/>
      <c r="I62" s="134"/>
      <c r="J62" s="139"/>
      <c r="K62" s="38">
        <f>SUM(I62+J62)</f>
        <v>0</v>
      </c>
      <c r="L62" s="38">
        <f>I62-H62</f>
        <v>0</v>
      </c>
      <c r="M62" s="138"/>
      <c r="N62" s="134">
        <f t="shared" si="19"/>
        <v>0</v>
      </c>
      <c r="O62" s="134">
        <f t="shared" si="15"/>
        <v>0</v>
      </c>
      <c r="P62" s="134">
        <f t="shared" si="16"/>
        <v>0</v>
      </c>
      <c r="Q62" s="134">
        <f t="shared" si="21"/>
        <v>3517000</v>
      </c>
      <c r="R62" s="134">
        <f t="shared" si="22"/>
        <v>3517000</v>
      </c>
      <c r="S62" s="138"/>
    </row>
    <row r="63" spans="1:19" s="110" customFormat="1" ht="15.75">
      <c r="A63" s="129" t="s">
        <v>128</v>
      </c>
      <c r="B63" s="131">
        <f>'4 a Intézmények'!CD102+'4 ba Polg Hiv'!BC107</f>
        <v>906693000</v>
      </c>
      <c r="C63" s="131">
        <f>'4 a Intézmények'!CE102+'4 ba Polg Hiv'!BD107</f>
        <v>1149695333</v>
      </c>
      <c r="D63" s="132">
        <f>'4 a Intézmények'!CF102+'4 ba Polg Hiv'!BE107</f>
        <v>-204727348</v>
      </c>
      <c r="E63" s="134">
        <f>'4 a Intézmények'!CG102+'4 ba Polg Hiv'!BF107</f>
        <v>929711234</v>
      </c>
      <c r="F63" s="134">
        <f>'4 a Intézmények'!CH102+'4 ba Polg Hiv'!BG107</f>
        <v>812905899</v>
      </c>
      <c r="G63" s="135">
        <f>F63/E63</f>
        <v>0.87439999999999996</v>
      </c>
      <c r="H63" s="134"/>
      <c r="I63" s="140"/>
      <c r="J63" s="139"/>
      <c r="K63" s="38">
        <f>SUM(I63+J63)</f>
        <v>0</v>
      </c>
      <c r="L63" s="38">
        <f>I63-H63</f>
        <v>0</v>
      </c>
      <c r="M63" s="138"/>
      <c r="N63" s="134">
        <f t="shared" si="19"/>
        <v>906693000</v>
      </c>
      <c r="O63" s="134">
        <f t="shared" si="15"/>
        <v>1149695333</v>
      </c>
      <c r="P63" s="134">
        <f t="shared" si="16"/>
        <v>-204727348</v>
      </c>
      <c r="Q63" s="134">
        <f t="shared" si="21"/>
        <v>929711234</v>
      </c>
      <c r="R63" s="134">
        <f t="shared" si="22"/>
        <v>812905899</v>
      </c>
      <c r="S63" s="138">
        <f>R63/Q63</f>
        <v>0.87439999999999996</v>
      </c>
    </row>
    <row r="64" spans="1:19" s="110" customFormat="1" ht="15.75">
      <c r="A64" s="126" t="s">
        <v>1342</v>
      </c>
      <c r="B64" s="166"/>
      <c r="C64" s="166"/>
      <c r="D64" s="166"/>
      <c r="E64" s="166"/>
      <c r="F64" s="166"/>
      <c r="G64" s="181"/>
      <c r="H64" s="145">
        <f>'4 bbb Önkorm'!BO103</f>
        <v>0</v>
      </c>
      <c r="I64" s="145">
        <f>'4 bbb Önkorm'!BP103</f>
        <v>0</v>
      </c>
      <c r="J64" s="145">
        <f>'4 bbb Önkorm'!BQ103</f>
        <v>0</v>
      </c>
      <c r="K64" s="145">
        <f>'4 bbb Önkorm'!BR103</f>
        <v>0</v>
      </c>
      <c r="L64" s="145">
        <f>'4 bbb Önkorm'!BS103</f>
        <v>0</v>
      </c>
      <c r="M64" s="144"/>
      <c r="N64" s="145">
        <f t="shared" si="19"/>
        <v>0</v>
      </c>
      <c r="O64" s="145">
        <f t="shared" si="15"/>
        <v>0</v>
      </c>
      <c r="P64" s="145">
        <f t="shared" si="16"/>
        <v>0</v>
      </c>
      <c r="Q64" s="145">
        <f t="shared" si="21"/>
        <v>0</v>
      </c>
      <c r="R64" s="145">
        <f t="shared" si="22"/>
        <v>0</v>
      </c>
      <c r="S64" s="144"/>
    </row>
    <row r="65" spans="1:19" s="260" customFormat="1" ht="15.75" customHeight="1">
      <c r="A65" s="257" t="s">
        <v>129</v>
      </c>
      <c r="B65" s="258">
        <f>B49+B52+B55+B59+B64</f>
        <v>8143828298</v>
      </c>
      <c r="C65" s="258">
        <f>C49+C52+C55+C59+C64</f>
        <v>8679167627</v>
      </c>
      <c r="D65" s="258">
        <f>D49+D52+D55+D59+D64</f>
        <v>-207988645</v>
      </c>
      <c r="E65" s="258">
        <f>E49+E52+E55+E59+E64</f>
        <v>8580695397</v>
      </c>
      <c r="F65" s="258">
        <f>F49+F52+F55+F59+F64</f>
        <v>7753604770</v>
      </c>
      <c r="G65" s="259">
        <f>F65/E65</f>
        <v>0.90359999999999996</v>
      </c>
      <c r="H65" s="258">
        <f>H49+H52+H55+H59+H64</f>
        <v>2400591000</v>
      </c>
      <c r="I65" s="258">
        <f>I49+I52+I55+I59+I64</f>
        <v>3669660916</v>
      </c>
      <c r="J65" s="258">
        <f>J49+J52+J55+J59+J64</f>
        <v>-1083334</v>
      </c>
      <c r="K65" s="258">
        <f>K49+K52+K55+K59+K64+K58</f>
        <v>9872040792</v>
      </c>
      <c r="L65" s="258">
        <f>L49+L52+L55+L59+L64+L58</f>
        <v>9872040781</v>
      </c>
      <c r="M65" s="259">
        <f t="shared" ref="M65:M72" si="23">L65/K65</f>
        <v>1</v>
      </c>
      <c r="N65" s="258">
        <f t="shared" si="19"/>
        <v>10544419298</v>
      </c>
      <c r="O65" s="258">
        <f t="shared" si="15"/>
        <v>12348828543</v>
      </c>
      <c r="P65" s="258">
        <f t="shared" si="16"/>
        <v>-209071979</v>
      </c>
      <c r="Q65" s="258">
        <f>SUM(E65+K65)</f>
        <v>18452736189</v>
      </c>
      <c r="R65" s="258">
        <f>SUM(F65+L65)</f>
        <v>17625645551</v>
      </c>
      <c r="S65" s="259">
        <f t="shared" ref="S65:S72" si="24">R65/Q65</f>
        <v>0.95520000000000005</v>
      </c>
    </row>
    <row r="66" spans="1:19" s="110" customFormat="1" ht="15.75">
      <c r="A66" s="261" t="s">
        <v>130</v>
      </c>
      <c r="B66" s="131">
        <f>B51+B53+B56+B60+B61</f>
        <v>7233144298</v>
      </c>
      <c r="C66" s="131">
        <f>C51+C53+C56+C60+C61</f>
        <v>7509767294</v>
      </c>
      <c r="D66" s="132">
        <f>D51+D53+D56+D60+D61</f>
        <v>-3261297</v>
      </c>
      <c r="E66" s="134">
        <f>SUM(C66+D66)</f>
        <v>7506505997</v>
      </c>
      <c r="F66" s="134">
        <f>SUM(D66+E66)</f>
        <v>7503244700</v>
      </c>
      <c r="G66" s="135">
        <f>F66/E66</f>
        <v>0.99960000000000004</v>
      </c>
      <c r="H66" s="131">
        <f>H51+H53+H56+H60+H61</f>
        <v>1139799000</v>
      </c>
      <c r="I66" s="131">
        <f>I51+I53+I56+I60+I61</f>
        <v>2059266724</v>
      </c>
      <c r="J66" s="132">
        <f>J51+J53+J56+J60+J61</f>
        <v>-1083334</v>
      </c>
      <c r="K66" s="134">
        <f>SUM(I66+J66)</f>
        <v>2058183390</v>
      </c>
      <c r="L66" s="134">
        <f>SUM(J66+K66)</f>
        <v>2057100056</v>
      </c>
      <c r="M66" s="138">
        <f t="shared" si="23"/>
        <v>0.99950000000000006</v>
      </c>
      <c r="N66" s="131">
        <f t="shared" si="19"/>
        <v>8372943298</v>
      </c>
      <c r="O66" s="131">
        <f t="shared" si="15"/>
        <v>9569034018</v>
      </c>
      <c r="P66" s="131">
        <f t="shared" si="16"/>
        <v>-4344631</v>
      </c>
      <c r="Q66" s="131">
        <f t="shared" si="21"/>
        <v>9564689387</v>
      </c>
      <c r="R66" s="131">
        <f t="shared" si="21"/>
        <v>9560344756</v>
      </c>
      <c r="S66" s="138">
        <f t="shared" si="24"/>
        <v>0.99950000000000006</v>
      </c>
    </row>
    <row r="67" spans="1:19" s="110" customFormat="1" ht="16.5" thickBot="1">
      <c r="A67" s="262" t="s">
        <v>131</v>
      </c>
      <c r="B67" s="196">
        <f>B50+B54+B57+B62+B63+B64</f>
        <v>910684000</v>
      </c>
      <c r="C67" s="196">
        <f>C50+C54+C57+C62+C63+C64</f>
        <v>1169400333</v>
      </c>
      <c r="D67" s="263">
        <f>D50+D54+D57+D62+D63+D64</f>
        <v>-204727348</v>
      </c>
      <c r="E67" s="140">
        <f>SUM(C67+D67)</f>
        <v>964672985</v>
      </c>
      <c r="F67" s="140">
        <f>SUM(D67+E67)</f>
        <v>759945637</v>
      </c>
      <c r="G67" s="198">
        <f>F67/E67</f>
        <v>0.78779999999999994</v>
      </c>
      <c r="H67" s="196">
        <f>H50+H54+H57+H62+H63+H64</f>
        <v>1260792000</v>
      </c>
      <c r="I67" s="196">
        <f>I50+I54+I57+I62+I63+I64</f>
        <v>1610394192</v>
      </c>
      <c r="J67" s="263">
        <f>J50+J54+J57+J62+J63+J64</f>
        <v>0</v>
      </c>
      <c r="K67" s="140">
        <f>SUM(I67+J67)</f>
        <v>1610394192</v>
      </c>
      <c r="L67" s="140">
        <f>SUM(J67+K67)</f>
        <v>1610394192</v>
      </c>
      <c r="M67" s="138">
        <f t="shared" si="23"/>
        <v>1</v>
      </c>
      <c r="N67" s="196">
        <f t="shared" si="19"/>
        <v>2171476000</v>
      </c>
      <c r="O67" s="196">
        <f t="shared" si="15"/>
        <v>2779794525</v>
      </c>
      <c r="P67" s="196">
        <f t="shared" si="16"/>
        <v>-204727348</v>
      </c>
      <c r="Q67" s="196">
        <f t="shared" si="21"/>
        <v>2575067177</v>
      </c>
      <c r="R67" s="196">
        <f t="shared" si="21"/>
        <v>2370339829</v>
      </c>
      <c r="S67" s="138">
        <f t="shared" si="24"/>
        <v>0.92049999999999998</v>
      </c>
    </row>
    <row r="68" spans="1:19" s="110" customFormat="1" ht="14.25" customHeight="1" thickBot="1">
      <c r="A68" s="182" t="s">
        <v>132</v>
      </c>
      <c r="B68" s="183">
        <f>SUM(B46+B65)</f>
        <v>9888150085</v>
      </c>
      <c r="C68" s="183">
        <f>SUM(C46+C65)</f>
        <v>10471326124</v>
      </c>
      <c r="D68" s="183">
        <f>SUM(D46+D65)</f>
        <v>-208715743</v>
      </c>
      <c r="E68" s="183">
        <f>SUM(E46+E65)</f>
        <v>10493891928</v>
      </c>
      <c r="F68" s="183">
        <f>SUM(F46+F65)</f>
        <v>9663647698</v>
      </c>
      <c r="G68" s="184">
        <f>F68/E68</f>
        <v>0.92090000000000005</v>
      </c>
      <c r="H68" s="183">
        <f>SUM(H46+H65)</f>
        <v>14586221498</v>
      </c>
      <c r="I68" s="183">
        <f>SUM(I46+I65)</f>
        <v>16054183315</v>
      </c>
      <c r="J68" s="183">
        <f>SUM(J46+J65)</f>
        <v>33255414</v>
      </c>
      <c r="K68" s="183">
        <f>SUM(K46+K65)</f>
        <v>22747052792</v>
      </c>
      <c r="L68" s="183">
        <f>SUM(L46+L65)</f>
        <v>22629020311</v>
      </c>
      <c r="M68" s="184">
        <f t="shared" si="23"/>
        <v>0.99480000000000002</v>
      </c>
      <c r="N68" s="183">
        <f t="shared" si="19"/>
        <v>24474371583</v>
      </c>
      <c r="O68" s="183">
        <f t="shared" si="15"/>
        <v>26525509439</v>
      </c>
      <c r="P68" s="183">
        <f t="shared" si="16"/>
        <v>-175460329</v>
      </c>
      <c r="Q68" s="183">
        <f t="shared" si="21"/>
        <v>33240944720</v>
      </c>
      <c r="R68" s="183">
        <f t="shared" si="21"/>
        <v>32292668009</v>
      </c>
      <c r="S68" s="184">
        <f t="shared" si="24"/>
        <v>0.97150000000000003</v>
      </c>
    </row>
    <row r="69" spans="1:19" s="110" customFormat="1" ht="18" customHeight="1">
      <c r="A69" s="50" t="s">
        <v>133</v>
      </c>
      <c r="B69" s="264"/>
      <c r="C69" s="264"/>
      <c r="D69" s="265"/>
      <c r="E69" s="266">
        <f t="shared" ref="E69:F71" si="25">SUM(C69+D69)</f>
        <v>0</v>
      </c>
      <c r="F69" s="266">
        <f t="shared" si="25"/>
        <v>0</v>
      </c>
      <c r="G69" s="267"/>
      <c r="H69" s="266">
        <f>'4 c Önk Korrekció'!Q99+'4 c Önk Korrekció'!Q100</f>
        <v>-7218216298</v>
      </c>
      <c r="I69" s="266">
        <f>'4 c Önk Korrekció'!R99+'4 c Önk Korrekció'!R100</f>
        <v>-7262774605</v>
      </c>
      <c r="J69" s="268">
        <f>'4 c Önk Korrekció'!S99+'4 c Önk Korrekció'!S100</f>
        <v>3261297</v>
      </c>
      <c r="K69" s="269">
        <f>'4 c Önk Korrekció'!T99+'4 c Önk Korrekció'!T100</f>
        <v>-7357708577</v>
      </c>
      <c r="L69" s="269">
        <f>'4 c Önk Korrekció'!U99+'4 c Önk Korrekció'!U100</f>
        <v>-6647423286</v>
      </c>
      <c r="M69" s="270">
        <f t="shared" si="23"/>
        <v>0.90349999999999997</v>
      </c>
      <c r="N69" s="269">
        <f t="shared" si="19"/>
        <v>-7218216298</v>
      </c>
      <c r="O69" s="269">
        <f t="shared" si="15"/>
        <v>-7262774605</v>
      </c>
      <c r="P69" s="269">
        <f t="shared" si="16"/>
        <v>3261297</v>
      </c>
      <c r="Q69" s="269">
        <f t="shared" si="21"/>
        <v>-7357708577</v>
      </c>
      <c r="R69" s="269">
        <f t="shared" si="22"/>
        <v>-6647423286</v>
      </c>
      <c r="S69" s="270">
        <f t="shared" si="24"/>
        <v>0.90349999999999997</v>
      </c>
    </row>
    <row r="70" spans="1:19" s="278" customFormat="1" ht="18" customHeight="1">
      <c r="A70" s="271" t="s">
        <v>134</v>
      </c>
      <c r="B70" s="272"/>
      <c r="C70" s="272"/>
      <c r="D70" s="273"/>
      <c r="E70" s="48">
        <f t="shared" si="25"/>
        <v>0</v>
      </c>
      <c r="F70" s="48">
        <f t="shared" si="25"/>
        <v>0</v>
      </c>
      <c r="G70" s="274"/>
      <c r="H70" s="275">
        <f>'4 c Önk Korrekció'!Q101+'4 c Önk Korrekció'!Q102</f>
        <v>-906693000</v>
      </c>
      <c r="I70" s="275">
        <f>'4 c Önk Korrekció'!R101+'4 c Önk Korrekció'!R102</f>
        <v>-1149695333</v>
      </c>
      <c r="J70" s="276">
        <f>'4 c Önk Korrekció'!S101+'4 c Önk Korrekció'!S102</f>
        <v>204727348</v>
      </c>
      <c r="K70" s="275">
        <f>'4 c Önk Korrekció'!T101+'4 c Önk Korrekció'!T102</f>
        <v>-933228234</v>
      </c>
      <c r="L70" s="275">
        <f>'4 c Önk Korrekció'!U101+'4 c Önk Korrekció'!U102</f>
        <v>-816422899</v>
      </c>
      <c r="M70" s="277">
        <f t="shared" si="23"/>
        <v>0.87480000000000002</v>
      </c>
      <c r="N70" s="275">
        <f t="shared" si="19"/>
        <v>-906693000</v>
      </c>
      <c r="O70" s="275">
        <f t="shared" si="15"/>
        <v>-1149695333</v>
      </c>
      <c r="P70" s="275">
        <f t="shared" si="16"/>
        <v>204727348</v>
      </c>
      <c r="Q70" s="275">
        <f t="shared" si="21"/>
        <v>-933228234</v>
      </c>
      <c r="R70" s="275">
        <f t="shared" si="22"/>
        <v>-816422899</v>
      </c>
      <c r="S70" s="277">
        <f t="shared" si="24"/>
        <v>0.87480000000000002</v>
      </c>
    </row>
    <row r="71" spans="1:19" s="278" customFormat="1" ht="18" customHeight="1">
      <c r="A71" s="49" t="s">
        <v>135</v>
      </c>
      <c r="B71" s="279">
        <f>SUM(B69+B70)</f>
        <v>0</v>
      </c>
      <c r="C71" s="279">
        <f>SUM(C69+C70)</f>
        <v>0</v>
      </c>
      <c r="D71" s="265">
        <f>SUM(D69+D70)</f>
        <v>0</v>
      </c>
      <c r="E71" s="280">
        <f t="shared" si="25"/>
        <v>0</v>
      </c>
      <c r="F71" s="280">
        <f t="shared" si="25"/>
        <v>0</v>
      </c>
      <c r="G71" s="281"/>
      <c r="H71" s="280">
        <f>SUM(H69+H70)</f>
        <v>-8124909298</v>
      </c>
      <c r="I71" s="280">
        <f>SUM(I69+I70)</f>
        <v>-8412469938</v>
      </c>
      <c r="J71" s="280">
        <f>SUM(J69+J70)</f>
        <v>207988645</v>
      </c>
      <c r="K71" s="280">
        <f>SUM(K69+K70)</f>
        <v>-8290936811</v>
      </c>
      <c r="L71" s="280">
        <f>SUM(L69+L70)</f>
        <v>-7463846185</v>
      </c>
      <c r="M71" s="281">
        <f t="shared" si="23"/>
        <v>0.9002</v>
      </c>
      <c r="N71" s="280">
        <f t="shared" si="19"/>
        <v>-8124909298</v>
      </c>
      <c r="O71" s="280">
        <f t="shared" si="15"/>
        <v>-8412469938</v>
      </c>
      <c r="P71" s="280">
        <f t="shared" si="16"/>
        <v>207988645</v>
      </c>
      <c r="Q71" s="280">
        <f t="shared" si="21"/>
        <v>-8290936811</v>
      </c>
      <c r="R71" s="280">
        <f t="shared" si="22"/>
        <v>-7463846185</v>
      </c>
      <c r="S71" s="281">
        <f t="shared" si="24"/>
        <v>0.9002</v>
      </c>
    </row>
    <row r="72" spans="1:19" s="110" customFormat="1" ht="18.75" customHeight="1">
      <c r="A72" s="182" t="s">
        <v>136</v>
      </c>
      <c r="B72" s="183">
        <f>SUM(B68+B71)</f>
        <v>9888150085</v>
      </c>
      <c r="C72" s="183">
        <f>SUM(C68+C71)</f>
        <v>10471326124</v>
      </c>
      <c r="D72" s="183">
        <f>SUM(D68+D71)</f>
        <v>-208715743</v>
      </c>
      <c r="E72" s="183">
        <f>SUM(E68+E71)</f>
        <v>10493891928</v>
      </c>
      <c r="F72" s="183">
        <f>SUM(F68+F71)</f>
        <v>9663647698</v>
      </c>
      <c r="G72" s="184">
        <f>F72/E72</f>
        <v>0.92090000000000005</v>
      </c>
      <c r="H72" s="183">
        <f>SUM(H68+H71)</f>
        <v>6461312200</v>
      </c>
      <c r="I72" s="183">
        <f>SUM(I68+I71)</f>
        <v>7641713377</v>
      </c>
      <c r="J72" s="183">
        <f>SUM(J68+J71)</f>
        <v>241244059</v>
      </c>
      <c r="K72" s="183">
        <f>SUM(K68+K71)</f>
        <v>14456115981</v>
      </c>
      <c r="L72" s="183">
        <f>SUM(L68+L71)</f>
        <v>15165174126</v>
      </c>
      <c r="M72" s="184">
        <f t="shared" si="23"/>
        <v>1.0489999999999999</v>
      </c>
      <c r="N72" s="183">
        <f>SUM(N68+N71)</f>
        <v>16349462285</v>
      </c>
      <c r="O72" s="183">
        <f>SUM(O68+O71)</f>
        <v>18113039501</v>
      </c>
      <c r="P72" s="183">
        <f>SUM(P68+P71)</f>
        <v>32528316</v>
      </c>
      <c r="Q72" s="183">
        <f>SUM(Q68+Q71)</f>
        <v>24950007909</v>
      </c>
      <c r="R72" s="183">
        <f>SUM(R68+R71)</f>
        <v>24828821824</v>
      </c>
      <c r="S72" s="184">
        <f t="shared" si="24"/>
        <v>0.99509999999999998</v>
      </c>
    </row>
    <row r="73" spans="1:19" s="110" customFormat="1" ht="15.75">
      <c r="A73" s="282"/>
      <c r="B73" s="282"/>
      <c r="C73" s="283"/>
      <c r="D73" s="284"/>
      <c r="E73" s="284"/>
      <c r="F73" s="284"/>
      <c r="G73" s="284"/>
      <c r="H73" s="284"/>
      <c r="I73" s="285"/>
      <c r="J73" s="285"/>
      <c r="K73" s="284"/>
      <c r="L73" s="284"/>
      <c r="M73" s="284"/>
      <c r="N73" s="284"/>
      <c r="O73" s="284"/>
      <c r="P73" s="15"/>
      <c r="Q73" s="14"/>
      <c r="R73" s="286"/>
      <c r="S73" s="284"/>
    </row>
    <row r="74" spans="1:19" s="110" customFormat="1" ht="15.75">
      <c r="A74" s="282"/>
      <c r="B74" s="282"/>
      <c r="C74" s="283"/>
      <c r="D74" s="284"/>
      <c r="E74" s="284"/>
      <c r="F74" s="284"/>
      <c r="G74" s="284"/>
      <c r="H74" s="284"/>
      <c r="I74" s="285"/>
      <c r="J74" s="285"/>
      <c r="K74" s="284"/>
      <c r="L74" s="284"/>
      <c r="M74" s="284"/>
      <c r="N74" s="284"/>
      <c r="O74" s="284"/>
      <c r="P74" s="15"/>
      <c r="Q74" s="14"/>
      <c r="R74" s="286"/>
      <c r="S74" s="284"/>
    </row>
  </sheetData>
  <sheetProtection selectLockedCells="1" selectUnlockedCells="1"/>
  <mergeCells count="8">
    <mergeCell ref="A3:S3"/>
    <mergeCell ref="C6:E6"/>
    <mergeCell ref="I6:K6"/>
    <mergeCell ref="O6:Q6"/>
    <mergeCell ref="P4:Q4"/>
    <mergeCell ref="B5:G5"/>
    <mergeCell ref="H5:M5"/>
    <mergeCell ref="N5:S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rstPageNumber="0" orientation="landscape" horizontalDpi="300" verticalDpi="300" r:id="rId1"/>
  <headerFooter alignWithMargins="0">
    <oddHeader>&amp;R&amp;8 2. m. a 2016. évi költségvetésről szóló 5/2016. (II.29.) önkormányzati rendelet végrehajtásáról szóló 11/2017. (V.3.) önkormányzati rendelethez</oddHeader>
    <oddFooter>&amp;C&amp;P. oldal</oddFooter>
  </headerFooter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K507"/>
  <sheetViews>
    <sheetView view="pageBreakPreview" zoomScaleSheetLayoutView="100" workbookViewId="0">
      <pane ySplit="3" topLeftCell="A21" activePane="bottomLeft" state="frozen"/>
      <selection pane="bottomLeft" activeCell="J119" sqref="J119"/>
    </sheetView>
  </sheetViews>
  <sheetFormatPr defaultRowHeight="12.75"/>
  <cols>
    <col min="1" max="1" width="4.85546875" style="101" customWidth="1"/>
    <col min="2" max="2" width="2.140625" style="101" customWidth="1"/>
    <col min="3" max="3" width="3.85546875" style="101" customWidth="1"/>
    <col min="4" max="4" width="53.7109375" style="287" customWidth="1"/>
    <col min="5" max="5" width="4.7109375" style="287" customWidth="1"/>
    <col min="6" max="6" width="14.28515625" style="288" customWidth="1"/>
    <col min="7" max="7" width="0" style="101" hidden="1" customWidth="1"/>
    <col min="8" max="8" width="0" style="1" hidden="1" customWidth="1"/>
    <col min="9" max="9" width="14.5703125" style="1" customWidth="1"/>
    <col min="10" max="10" width="14.42578125" style="100" customWidth="1"/>
    <col min="11" max="11" width="17" style="101" customWidth="1"/>
    <col min="12" max="12" width="10.140625" style="101" customWidth="1"/>
    <col min="13" max="16384" width="9.140625" style="101"/>
  </cols>
  <sheetData>
    <row r="1" spans="1:11" s="292" customFormat="1" ht="53.25" customHeight="1">
      <c r="A1" s="289"/>
      <c r="B1" s="1700" t="s">
        <v>1354</v>
      </c>
      <c r="C1" s="1700"/>
      <c r="D1" s="1700"/>
      <c r="E1" s="1700"/>
      <c r="F1" s="1700"/>
      <c r="G1" s="1700"/>
      <c r="H1" s="1700"/>
      <c r="I1" s="1700"/>
      <c r="J1" s="290"/>
      <c r="K1" s="291"/>
    </row>
    <row r="2" spans="1:11" s="293" customFormat="1" ht="13.5" customHeight="1">
      <c r="D2" s="294"/>
      <c r="E2" s="294"/>
      <c r="F2" s="295"/>
      <c r="G2" s="296"/>
      <c r="H2" s="297"/>
      <c r="I2" s="298"/>
      <c r="J2" s="299" t="s">
        <v>0</v>
      </c>
    </row>
    <row r="3" spans="1:11" s="293" customFormat="1" ht="47.25" customHeight="1">
      <c r="A3" s="1705" t="s">
        <v>137</v>
      </c>
      <c r="B3" s="1705"/>
      <c r="C3" s="1705"/>
      <c r="D3" s="1705"/>
      <c r="E3" s="1705"/>
      <c r="F3" s="300" t="s">
        <v>138</v>
      </c>
      <c r="G3" s="300" t="s">
        <v>139</v>
      </c>
      <c r="H3" s="301" t="s">
        <v>4</v>
      </c>
      <c r="I3" s="300" t="s">
        <v>5</v>
      </c>
      <c r="J3" s="11" t="s">
        <v>140</v>
      </c>
      <c r="K3" s="302" t="s">
        <v>141</v>
      </c>
    </row>
    <row r="4" spans="1:11" s="293" customFormat="1" ht="18" customHeight="1">
      <c r="A4" s="303"/>
      <c r="B4" s="304"/>
      <c r="C4" s="304"/>
      <c r="D4" s="294"/>
      <c r="E4" s="294"/>
      <c r="F4" s="295"/>
      <c r="G4" s="302"/>
      <c r="H4" s="305"/>
      <c r="I4" s="305"/>
      <c r="J4" s="306"/>
    </row>
    <row r="5" spans="1:11" s="308" customFormat="1" ht="15" customHeight="1">
      <c r="A5" s="307" t="s">
        <v>142</v>
      </c>
      <c r="D5" s="309"/>
      <c r="E5" s="309"/>
      <c r="F5" s="310"/>
      <c r="G5" s="304"/>
      <c r="H5" s="311"/>
      <c r="I5" s="311"/>
      <c r="J5" s="312"/>
    </row>
    <row r="6" spans="1:11" s="308" customFormat="1" ht="8.25" customHeight="1">
      <c r="A6" s="307"/>
      <c r="D6" s="309"/>
      <c r="E6" s="309"/>
      <c r="F6" s="310"/>
      <c r="G6" s="304"/>
      <c r="H6" s="311"/>
      <c r="I6" s="311"/>
      <c r="J6" s="312"/>
    </row>
    <row r="7" spans="1:11" s="308" customFormat="1" ht="15">
      <c r="B7" s="313" t="s">
        <v>143</v>
      </c>
      <c r="C7" s="314"/>
      <c r="D7" s="309"/>
      <c r="E7" s="309"/>
      <c r="F7" s="310"/>
      <c r="G7" s="315"/>
      <c r="H7" s="316"/>
      <c r="I7" s="316"/>
      <c r="J7" s="312"/>
    </row>
    <row r="8" spans="1:11" s="308" customFormat="1" ht="9.75" customHeight="1">
      <c r="B8" s="313"/>
      <c r="C8" s="314"/>
      <c r="D8" s="309"/>
      <c r="E8" s="309"/>
      <c r="F8" s="310"/>
      <c r="G8" s="315"/>
      <c r="H8" s="316"/>
      <c r="I8" s="316"/>
      <c r="J8" s="312"/>
    </row>
    <row r="9" spans="1:11" s="308" customFormat="1" ht="15" customHeight="1">
      <c r="B9" s="317" t="s">
        <v>74</v>
      </c>
      <c r="C9" s="318" t="s">
        <v>144</v>
      </c>
      <c r="D9" s="309"/>
      <c r="E9" s="309"/>
      <c r="F9" s="310"/>
      <c r="G9" s="312"/>
      <c r="H9" s="319"/>
      <c r="I9" s="319"/>
      <c r="J9" s="312"/>
    </row>
    <row r="10" spans="1:11" s="308" customFormat="1" ht="15" customHeight="1">
      <c r="B10" s="317"/>
      <c r="C10" s="318"/>
      <c r="D10" s="320" t="s">
        <v>145</v>
      </c>
      <c r="E10" s="309"/>
      <c r="F10" s="310"/>
      <c r="G10" s="312"/>
      <c r="H10" s="319"/>
      <c r="I10" s="321">
        <v>12883982</v>
      </c>
      <c r="J10" s="312">
        <f>1686235+8467888+2729859</f>
        <v>12883982</v>
      </c>
    </row>
    <row r="11" spans="1:11" s="308" customFormat="1" ht="12" customHeight="1">
      <c r="B11" s="322"/>
      <c r="C11" s="323"/>
      <c r="D11" s="320" t="s">
        <v>146</v>
      </c>
      <c r="E11" s="309"/>
      <c r="F11" s="310"/>
      <c r="G11" s="312"/>
      <c r="H11" s="319"/>
      <c r="I11" s="321">
        <v>1248594</v>
      </c>
      <c r="J11" s="312">
        <f>50347+75519+805544+317184</f>
        <v>1248594</v>
      </c>
    </row>
    <row r="12" spans="1:11" s="308" customFormat="1" ht="10.5" customHeight="1">
      <c r="C12" s="324"/>
      <c r="D12" s="309"/>
      <c r="E12" s="309"/>
      <c r="F12" s="310"/>
      <c r="G12" s="312"/>
      <c r="H12" s="325"/>
      <c r="I12" s="321"/>
      <c r="J12" s="312"/>
    </row>
    <row r="13" spans="1:11" s="308" customFormat="1" ht="15" customHeight="1">
      <c r="B13" s="326" t="s">
        <v>74</v>
      </c>
      <c r="C13" s="318" t="s">
        <v>147</v>
      </c>
      <c r="D13" s="309"/>
      <c r="E13" s="309"/>
      <c r="F13" s="327">
        <f>SUM(F12:F12)</f>
        <v>0</v>
      </c>
      <c r="G13" s="327">
        <f>SUM(G12:G12)</f>
        <v>0</v>
      </c>
      <c r="H13" s="328">
        <f>SUM(H12:H12)</f>
        <v>0</v>
      </c>
      <c r="I13" s="329">
        <f>SUM(I10:I12)</f>
        <v>14132576</v>
      </c>
      <c r="J13" s="329">
        <f>SUM(J10:J12)</f>
        <v>14132576</v>
      </c>
      <c r="K13" s="312">
        <f>SUM(G13:H13)</f>
        <v>0</v>
      </c>
    </row>
    <row r="14" spans="1:11" s="308" customFormat="1" ht="15" customHeight="1">
      <c r="B14" s="326"/>
      <c r="C14" s="318"/>
      <c r="D14" s="309"/>
      <c r="E14" s="309"/>
      <c r="F14" s="330"/>
      <c r="G14" s="330"/>
      <c r="H14" s="331"/>
      <c r="I14" s="332"/>
      <c r="J14" s="332"/>
      <c r="K14" s="312"/>
    </row>
    <row r="15" spans="1:11" s="308" customFormat="1" ht="15" customHeight="1">
      <c r="B15" s="326" t="s">
        <v>75</v>
      </c>
      <c r="C15" s="318" t="s">
        <v>148</v>
      </c>
      <c r="D15" s="309"/>
      <c r="E15" s="309"/>
      <c r="F15" s="330"/>
      <c r="G15" s="330"/>
      <c r="H15" s="331"/>
      <c r="I15" s="332"/>
      <c r="J15" s="332"/>
      <c r="K15" s="312"/>
    </row>
    <row r="16" spans="1:11" s="308" customFormat="1" ht="15" customHeight="1">
      <c r="B16" s="326"/>
      <c r="C16" s="318"/>
      <c r="D16" s="320" t="s">
        <v>149</v>
      </c>
      <c r="E16" s="309"/>
      <c r="F16" s="330"/>
      <c r="G16" s="330"/>
      <c r="H16" s="331"/>
      <c r="I16" s="332">
        <v>200000</v>
      </c>
      <c r="J16" s="332">
        <v>207850</v>
      </c>
      <c r="K16" s="312"/>
    </row>
    <row r="17" spans="2:11" s="308" customFormat="1" ht="15" customHeight="1">
      <c r="B17" s="326"/>
      <c r="C17" s="318"/>
      <c r="D17" s="309"/>
      <c r="E17" s="309"/>
      <c r="F17" s="330"/>
      <c r="G17" s="330"/>
      <c r="H17" s="331"/>
      <c r="I17" s="332"/>
      <c r="J17" s="332"/>
      <c r="K17" s="312"/>
    </row>
    <row r="18" spans="2:11" s="308" customFormat="1" ht="15" customHeight="1">
      <c r="B18" s="326" t="s">
        <v>75</v>
      </c>
      <c r="C18" s="318" t="s">
        <v>150</v>
      </c>
      <c r="D18" s="309"/>
      <c r="E18" s="309"/>
      <c r="F18" s="327">
        <f>SUM(F17:F17)</f>
        <v>0</v>
      </c>
      <c r="G18" s="327">
        <f>SUM(G17:G17)</f>
        <v>0</v>
      </c>
      <c r="H18" s="328">
        <f>SUM(H17:H17)</f>
        <v>0</v>
      </c>
      <c r="I18" s="329">
        <f>SUM(I16:I17)</f>
        <v>200000</v>
      </c>
      <c r="J18" s="329">
        <f>SUM(J16:J17)</f>
        <v>207850</v>
      </c>
      <c r="K18" s="312">
        <f>SUM(G18:H18)</f>
        <v>0</v>
      </c>
    </row>
    <row r="19" spans="2:11" s="308" customFormat="1" ht="14.25" customHeight="1">
      <c r="D19" s="309"/>
      <c r="E19" s="309"/>
      <c r="F19" s="312"/>
      <c r="G19" s="312"/>
      <c r="H19" s="319"/>
      <c r="I19" s="319"/>
      <c r="J19" s="319"/>
    </row>
    <row r="20" spans="2:11" s="308" customFormat="1" ht="15" customHeight="1">
      <c r="B20" s="333"/>
      <c r="C20" s="326" t="s">
        <v>151</v>
      </c>
      <c r="D20" s="309"/>
      <c r="E20" s="309"/>
      <c r="F20" s="327">
        <f>SUM(F13)</f>
        <v>0</v>
      </c>
      <c r="G20" s="327">
        <f>SUM(G13)</f>
        <v>0</v>
      </c>
      <c r="H20" s="328">
        <f>SUM(H13)</f>
        <v>0</v>
      </c>
      <c r="I20" s="334">
        <f>SUM(I13+I18)</f>
        <v>14332576</v>
      </c>
      <c r="J20" s="334">
        <f>SUM(J13+J18)</f>
        <v>14340426</v>
      </c>
      <c r="K20" s="312"/>
    </row>
    <row r="21" spans="2:11" s="308" customFormat="1" ht="15" customHeight="1">
      <c r="D21" s="335"/>
      <c r="E21" s="335"/>
      <c r="F21" s="312"/>
      <c r="G21" s="312"/>
      <c r="H21" s="319"/>
      <c r="I21" s="319"/>
      <c r="J21" s="319"/>
    </row>
    <row r="22" spans="2:11" s="308" customFormat="1" ht="15" hidden="1" customHeight="1">
      <c r="B22" s="336" t="s">
        <v>75</v>
      </c>
      <c r="C22" s="326" t="s">
        <v>152</v>
      </c>
      <c r="D22" s="309"/>
      <c r="E22" s="309"/>
      <c r="F22" s="312"/>
      <c r="G22" s="312"/>
      <c r="H22" s="319"/>
      <c r="I22" s="319"/>
      <c r="J22" s="319"/>
    </row>
    <row r="23" spans="2:11" s="308" customFormat="1" ht="10.5" hidden="1" customHeight="1">
      <c r="C23" s="324"/>
      <c r="D23" s="337"/>
      <c r="E23" s="337"/>
      <c r="F23" s="338"/>
      <c r="G23" s="338"/>
      <c r="H23" s="325"/>
      <c r="I23" s="319"/>
      <c r="J23" s="319"/>
    </row>
    <row r="24" spans="2:11" s="308" customFormat="1" ht="15" hidden="1" customHeight="1">
      <c r="C24" s="324"/>
      <c r="D24" s="320"/>
      <c r="E24" s="320"/>
      <c r="F24" s="338"/>
      <c r="G24" s="338"/>
      <c r="H24" s="339"/>
      <c r="I24" s="319">
        <f t="shared" ref="I24:J26" si="0">SUM(G24:H24)</f>
        <v>0</v>
      </c>
      <c r="J24" s="319">
        <f t="shared" si="0"/>
        <v>0</v>
      </c>
    </row>
    <row r="25" spans="2:11" s="308" customFormat="1" ht="15" hidden="1" customHeight="1">
      <c r="C25" s="324"/>
      <c r="D25" s="320"/>
      <c r="E25" s="320"/>
      <c r="F25" s="338"/>
      <c r="G25" s="338"/>
      <c r="H25" s="339"/>
      <c r="I25" s="319">
        <f t="shared" si="0"/>
        <v>0</v>
      </c>
      <c r="J25" s="319">
        <f t="shared" si="0"/>
        <v>0</v>
      </c>
    </row>
    <row r="26" spans="2:11" s="308" customFormat="1" ht="15" hidden="1" customHeight="1">
      <c r="C26" s="324"/>
      <c r="D26" s="309"/>
      <c r="E26" s="309"/>
      <c r="F26" s="338"/>
      <c r="G26" s="338"/>
      <c r="H26" s="339"/>
      <c r="I26" s="319">
        <f t="shared" si="0"/>
        <v>0</v>
      </c>
      <c r="J26" s="319">
        <f t="shared" si="0"/>
        <v>0</v>
      </c>
    </row>
    <row r="27" spans="2:11" s="308" customFormat="1" ht="15" hidden="1" customHeight="1">
      <c r="C27" s="324"/>
      <c r="D27" s="340"/>
      <c r="E27" s="340"/>
      <c r="F27" s="338"/>
      <c r="G27" s="338"/>
      <c r="H27" s="325"/>
      <c r="I27" s="319"/>
      <c r="J27" s="319"/>
    </row>
    <row r="28" spans="2:11" s="308" customFormat="1" ht="15" hidden="1" customHeight="1">
      <c r="B28" s="333" t="s">
        <v>75</v>
      </c>
      <c r="C28" s="326" t="s">
        <v>153</v>
      </c>
      <c r="D28" s="309"/>
      <c r="E28" s="309"/>
      <c r="F28" s="327">
        <f>SUM(F23:F27)</f>
        <v>0</v>
      </c>
      <c r="G28" s="327">
        <f>SUM(G23:G27)</f>
        <v>0</v>
      </c>
      <c r="H28" s="341">
        <f>SUM(H23:H27)</f>
        <v>0</v>
      </c>
      <c r="I28" s="329">
        <f>SUM(I23:I27)</f>
        <v>0</v>
      </c>
      <c r="J28" s="329">
        <f>SUM(J23:J27)</f>
        <v>0</v>
      </c>
      <c r="K28" s="312">
        <f>SUM(H28:I28)</f>
        <v>0</v>
      </c>
    </row>
    <row r="29" spans="2:11" s="308" customFormat="1" ht="12.75" hidden="1" customHeight="1">
      <c r="B29" s="333"/>
      <c r="C29" s="326"/>
      <c r="D29" s="342"/>
      <c r="E29" s="342"/>
      <c r="F29" s="330"/>
      <c r="G29" s="330"/>
      <c r="H29" s="332"/>
      <c r="I29" s="343"/>
      <c r="J29" s="343"/>
      <c r="K29" s="312"/>
    </row>
    <row r="30" spans="2:11" s="308" customFormat="1" ht="16.5" customHeight="1">
      <c r="C30" s="344" t="s">
        <v>154</v>
      </c>
      <c r="D30" s="345"/>
      <c r="E30" s="345"/>
      <c r="F30" s="346">
        <f>F20+F28</f>
        <v>0</v>
      </c>
      <c r="G30" s="346">
        <f>G20+G28</f>
        <v>0</v>
      </c>
      <c r="H30" s="341">
        <f>H20+H28</f>
        <v>0</v>
      </c>
      <c r="I30" s="329">
        <f>SUM(I13+I18)</f>
        <v>14332576</v>
      </c>
      <c r="J30" s="329">
        <f>J20+J28</f>
        <v>14340426</v>
      </c>
      <c r="K30" s="312">
        <f>SUM(H30:I30)</f>
        <v>14332576</v>
      </c>
    </row>
    <row r="31" spans="2:11" s="308" customFormat="1" ht="15.75" hidden="1" customHeight="1">
      <c r="D31" s="309"/>
      <c r="E31" s="309"/>
      <c r="F31" s="312"/>
      <c r="G31" s="312"/>
      <c r="H31" s="319"/>
      <c r="I31" s="319"/>
      <c r="J31" s="319"/>
    </row>
    <row r="32" spans="2:11" s="308" customFormat="1" ht="15" hidden="1" customHeight="1">
      <c r="B32" s="326" t="s">
        <v>155</v>
      </c>
      <c r="D32" s="309"/>
      <c r="E32" s="309"/>
      <c r="F32" s="312"/>
      <c r="G32" s="312"/>
      <c r="H32" s="319"/>
      <c r="I32" s="319"/>
      <c r="J32" s="319"/>
    </row>
    <row r="33" spans="2:11" s="308" customFormat="1" ht="11.25" hidden="1" customHeight="1">
      <c r="B33" s="326"/>
      <c r="D33" s="309"/>
      <c r="E33" s="309"/>
      <c r="F33" s="312"/>
      <c r="G33" s="312"/>
      <c r="H33" s="319"/>
      <c r="I33" s="319"/>
      <c r="J33" s="319"/>
    </row>
    <row r="34" spans="2:11" s="308" customFormat="1" ht="15" hidden="1" customHeight="1">
      <c r="B34" s="322" t="s">
        <v>74</v>
      </c>
      <c r="C34" s="323" t="s">
        <v>156</v>
      </c>
      <c r="D34" s="309"/>
      <c r="E34" s="309"/>
      <c r="F34" s="312"/>
      <c r="G34" s="312"/>
      <c r="H34" s="319"/>
      <c r="I34" s="319"/>
      <c r="J34" s="319"/>
    </row>
    <row r="35" spans="2:11" s="308" customFormat="1" ht="12.75" hidden="1" customHeight="1">
      <c r="C35" s="324"/>
      <c r="D35" s="309"/>
      <c r="E35" s="309"/>
      <c r="F35" s="338"/>
      <c r="G35" s="338"/>
      <c r="H35" s="325"/>
      <c r="I35" s="319"/>
      <c r="J35" s="319"/>
    </row>
    <row r="36" spans="2:11" s="308" customFormat="1" ht="15.75" hidden="1" customHeight="1">
      <c r="B36" s="322"/>
      <c r="C36" s="323"/>
      <c r="D36" s="347"/>
      <c r="E36" s="347"/>
      <c r="F36" s="338"/>
      <c r="G36" s="338"/>
      <c r="H36" s="339"/>
      <c r="I36" s="319">
        <f t="shared" ref="I36:J43" si="1">SUM(G36:H36)</f>
        <v>0</v>
      </c>
      <c r="J36" s="319">
        <f t="shared" si="1"/>
        <v>0</v>
      </c>
    </row>
    <row r="37" spans="2:11" s="308" customFormat="1" ht="15" hidden="1">
      <c r="B37" s="322"/>
      <c r="C37" s="323"/>
      <c r="D37" s="347"/>
      <c r="E37" s="347"/>
      <c r="F37" s="338"/>
      <c r="G37" s="338"/>
      <c r="H37" s="339"/>
      <c r="I37" s="319">
        <f t="shared" si="1"/>
        <v>0</v>
      </c>
      <c r="J37" s="319">
        <f t="shared" si="1"/>
        <v>0</v>
      </c>
    </row>
    <row r="38" spans="2:11" s="308" customFormat="1" ht="15" hidden="1">
      <c r="B38" s="322"/>
      <c r="C38" s="323"/>
      <c r="D38" s="347"/>
      <c r="E38" s="347"/>
      <c r="F38" s="338"/>
      <c r="G38" s="338"/>
      <c r="H38" s="339"/>
      <c r="I38" s="319">
        <f t="shared" si="1"/>
        <v>0</v>
      </c>
      <c r="J38" s="319">
        <f t="shared" si="1"/>
        <v>0</v>
      </c>
    </row>
    <row r="39" spans="2:11" s="308" customFormat="1" ht="18.75" hidden="1" customHeight="1">
      <c r="B39" s="322"/>
      <c r="C39" s="323"/>
      <c r="D39" s="347"/>
      <c r="E39" s="347"/>
      <c r="F39" s="338"/>
      <c r="G39" s="338"/>
      <c r="H39" s="339"/>
      <c r="I39" s="319">
        <f t="shared" si="1"/>
        <v>0</v>
      </c>
      <c r="J39" s="319">
        <f t="shared" si="1"/>
        <v>0</v>
      </c>
    </row>
    <row r="40" spans="2:11" s="308" customFormat="1" ht="15" hidden="1">
      <c r="B40" s="322"/>
      <c r="C40" s="323"/>
      <c r="D40" s="347"/>
      <c r="E40" s="347"/>
      <c r="F40" s="338"/>
      <c r="G40" s="338"/>
      <c r="H40" s="339"/>
      <c r="I40" s="319">
        <f t="shared" si="1"/>
        <v>0</v>
      </c>
      <c r="J40" s="319">
        <f t="shared" si="1"/>
        <v>0</v>
      </c>
    </row>
    <row r="41" spans="2:11" s="308" customFormat="1" ht="15" hidden="1">
      <c r="B41" s="322"/>
      <c r="C41" s="323"/>
      <c r="D41" s="348"/>
      <c r="E41" s="348"/>
      <c r="F41" s="338"/>
      <c r="G41" s="338"/>
      <c r="H41" s="339"/>
      <c r="I41" s="319">
        <f t="shared" si="1"/>
        <v>0</v>
      </c>
      <c r="J41" s="319">
        <f t="shared" si="1"/>
        <v>0</v>
      </c>
    </row>
    <row r="42" spans="2:11" s="308" customFormat="1" ht="15" hidden="1">
      <c r="B42" s="322"/>
      <c r="C42" s="323"/>
      <c r="D42" s="347"/>
      <c r="E42" s="347"/>
      <c r="F42" s="338"/>
      <c r="G42" s="338"/>
      <c r="H42" s="339"/>
      <c r="I42" s="319">
        <f t="shared" si="1"/>
        <v>0</v>
      </c>
      <c r="J42" s="319">
        <f t="shared" si="1"/>
        <v>0</v>
      </c>
    </row>
    <row r="43" spans="2:11" s="308" customFormat="1" ht="15" hidden="1">
      <c r="B43" s="322"/>
      <c r="C43" s="323"/>
      <c r="D43" s="349"/>
      <c r="E43" s="349"/>
      <c r="F43" s="338"/>
      <c r="G43" s="338"/>
      <c r="H43" s="339"/>
      <c r="I43" s="319">
        <f t="shared" si="1"/>
        <v>0</v>
      </c>
      <c r="J43" s="319">
        <f t="shared" si="1"/>
        <v>0</v>
      </c>
    </row>
    <row r="44" spans="2:11" s="308" customFormat="1" ht="15" hidden="1" customHeight="1">
      <c r="D44" s="309"/>
      <c r="E44" s="309"/>
      <c r="F44" s="312"/>
      <c r="G44" s="312"/>
      <c r="H44" s="319"/>
      <c r="I44" s="319"/>
      <c r="J44" s="319"/>
    </row>
    <row r="45" spans="2:11" s="308" customFormat="1" ht="15" hidden="1" customHeight="1">
      <c r="B45" s="333" t="s">
        <v>74</v>
      </c>
      <c r="C45" s="326" t="s">
        <v>157</v>
      </c>
      <c r="D45" s="309"/>
      <c r="E45" s="309"/>
      <c r="F45" s="350">
        <f>SUM(F36:F44)</f>
        <v>0</v>
      </c>
      <c r="G45" s="350">
        <f>SUM(G36:G44)</f>
        <v>0</v>
      </c>
      <c r="H45" s="328">
        <f>SUM(H36:H44)</f>
        <v>0</v>
      </c>
      <c r="I45" s="351">
        <f>SUM(I36:I44)</f>
        <v>0</v>
      </c>
      <c r="J45" s="351">
        <f>SUM(J36:J44)</f>
        <v>0</v>
      </c>
      <c r="K45" s="312">
        <f>SUM(H45:I45)</f>
        <v>0</v>
      </c>
    </row>
    <row r="46" spans="2:11" s="308" customFormat="1" ht="8.25" hidden="1" customHeight="1">
      <c r="D46" s="309"/>
      <c r="E46" s="309"/>
      <c r="F46" s="312"/>
      <c r="G46" s="312"/>
      <c r="H46" s="319"/>
      <c r="I46" s="319"/>
      <c r="J46" s="319"/>
    </row>
    <row r="47" spans="2:11" s="308" customFormat="1" ht="15" hidden="1" customHeight="1">
      <c r="B47" s="352" t="s">
        <v>75</v>
      </c>
      <c r="C47" s="308" t="s">
        <v>158</v>
      </c>
      <c r="D47" s="309"/>
      <c r="E47" s="309"/>
      <c r="F47" s="312"/>
      <c r="G47" s="312"/>
      <c r="H47" s="319"/>
      <c r="I47" s="319"/>
      <c r="J47" s="319"/>
    </row>
    <row r="48" spans="2:11" s="308" customFormat="1" ht="15" hidden="1" customHeight="1">
      <c r="B48" s="352"/>
      <c r="C48" s="324"/>
      <c r="D48" s="309"/>
      <c r="E48" s="309"/>
      <c r="F48" s="312"/>
      <c r="G48" s="312"/>
      <c r="H48" s="339"/>
      <c r="I48" s="319">
        <f t="shared" ref="I48:J51" si="2">SUM(G48:H48)</f>
        <v>0</v>
      </c>
      <c r="J48" s="319">
        <f t="shared" si="2"/>
        <v>0</v>
      </c>
    </row>
    <row r="49" spans="1:11" s="308" customFormat="1" ht="15" hidden="1" customHeight="1">
      <c r="B49" s="352"/>
      <c r="C49" s="324"/>
      <c r="D49" s="309"/>
      <c r="E49" s="309"/>
      <c r="F49" s="312"/>
      <c r="G49" s="312"/>
      <c r="H49" s="339"/>
      <c r="I49" s="319">
        <f t="shared" si="2"/>
        <v>0</v>
      </c>
      <c r="J49" s="319">
        <f t="shared" si="2"/>
        <v>0</v>
      </c>
    </row>
    <row r="50" spans="1:11" s="308" customFormat="1" ht="15" hidden="1" customHeight="1">
      <c r="B50" s="352"/>
      <c r="C50" s="324"/>
      <c r="D50" s="309"/>
      <c r="E50" s="309"/>
      <c r="F50" s="312"/>
      <c r="G50" s="312"/>
      <c r="H50" s="339"/>
      <c r="I50" s="319">
        <f t="shared" si="2"/>
        <v>0</v>
      </c>
      <c r="J50" s="319">
        <f t="shared" si="2"/>
        <v>0</v>
      </c>
    </row>
    <row r="51" spans="1:11" s="308" customFormat="1" ht="15" hidden="1" customHeight="1">
      <c r="B51" s="352"/>
      <c r="C51" s="324"/>
      <c r="D51" s="309"/>
      <c r="E51" s="309"/>
      <c r="F51" s="338"/>
      <c r="G51" s="338"/>
      <c r="H51" s="339"/>
      <c r="I51" s="319">
        <f t="shared" si="2"/>
        <v>0</v>
      </c>
      <c r="J51" s="319">
        <f t="shared" si="2"/>
        <v>0</v>
      </c>
    </row>
    <row r="52" spans="1:11" s="308" customFormat="1" ht="14.25" hidden="1" customHeight="1">
      <c r="B52" s="352"/>
      <c r="D52" s="309"/>
      <c r="E52" s="309"/>
      <c r="F52" s="312"/>
      <c r="G52" s="312"/>
      <c r="H52" s="319"/>
      <c r="I52" s="319"/>
      <c r="J52" s="319"/>
    </row>
    <row r="53" spans="1:11" s="308" customFormat="1" ht="15" hidden="1" customHeight="1">
      <c r="B53" s="333" t="s">
        <v>75</v>
      </c>
      <c r="C53" s="326" t="s">
        <v>159</v>
      </c>
      <c r="D53" s="309"/>
      <c r="E53" s="309"/>
      <c r="F53" s="350">
        <f>SUM(F48:F52)</f>
        <v>0</v>
      </c>
      <c r="G53" s="350">
        <f>SUM(G48:G52)</f>
        <v>0</v>
      </c>
      <c r="H53" s="328">
        <f>SUM(H48:H52)</f>
        <v>0</v>
      </c>
      <c r="I53" s="351">
        <f>SUM(I48:I52)</f>
        <v>0</v>
      </c>
      <c r="J53" s="351">
        <f>SUM(J48:J52)</f>
        <v>0</v>
      </c>
      <c r="K53" s="312">
        <f>SUM(H53:I53)</f>
        <v>0</v>
      </c>
    </row>
    <row r="54" spans="1:11" s="308" customFormat="1" ht="15.75" hidden="1" customHeight="1">
      <c r="D54" s="309"/>
      <c r="E54" s="309"/>
      <c r="F54" s="312"/>
      <c r="G54" s="312"/>
      <c r="H54" s="319"/>
      <c r="I54" s="319"/>
      <c r="J54" s="319"/>
    </row>
    <row r="55" spans="1:11" s="308" customFormat="1" ht="16.5" hidden="1" customHeight="1">
      <c r="C55" s="344" t="s">
        <v>160</v>
      </c>
      <c r="D55" s="345"/>
      <c r="E55" s="345"/>
      <c r="F55" s="327">
        <f>SUM(F45+F53)</f>
        <v>0</v>
      </c>
      <c r="G55" s="327">
        <f>SUM(G45+G53)</f>
        <v>0</v>
      </c>
      <c r="H55" s="353">
        <f>SUM(H45+H53)</f>
        <v>0</v>
      </c>
      <c r="I55" s="329">
        <f>SUM(G55:H55)</f>
        <v>0</v>
      </c>
      <c r="J55" s="329">
        <f>SUM(H55:I55)</f>
        <v>0</v>
      </c>
      <c r="K55" s="312">
        <f>SUM(H55:I55)</f>
        <v>0</v>
      </c>
    </row>
    <row r="56" spans="1:11" s="308" customFormat="1" ht="15.75" hidden="1" customHeight="1">
      <c r="D56" s="309"/>
      <c r="E56" s="309"/>
      <c r="F56" s="312"/>
      <c r="G56" s="312"/>
      <c r="H56" s="319"/>
      <c r="I56" s="319"/>
      <c r="J56" s="319"/>
    </row>
    <row r="57" spans="1:11" s="308" customFormat="1" ht="15" customHeight="1">
      <c r="D57" s="309"/>
      <c r="E57" s="309"/>
      <c r="F57" s="312"/>
      <c r="G57" s="312"/>
      <c r="H57" s="319"/>
      <c r="I57" s="319"/>
      <c r="J57" s="319"/>
    </row>
    <row r="58" spans="1:11" s="308" customFormat="1" ht="18" customHeight="1">
      <c r="A58" s="326" t="s">
        <v>161</v>
      </c>
      <c r="D58" s="309"/>
      <c r="E58" s="309"/>
      <c r="F58" s="327">
        <f>SUM(F30+F55)</f>
        <v>0</v>
      </c>
      <c r="G58" s="327">
        <f>SUM(G30+G55)</f>
        <v>0</v>
      </c>
      <c r="H58" s="327">
        <f>SUM(H30+H55)</f>
        <v>0</v>
      </c>
      <c r="I58" s="327">
        <f>SUM(I30+I55)</f>
        <v>14332576</v>
      </c>
      <c r="J58" s="327">
        <f>SUM(J30+J55)</f>
        <v>14340426</v>
      </c>
      <c r="K58" s="312"/>
    </row>
    <row r="59" spans="1:11" s="308" customFormat="1" ht="18" customHeight="1">
      <c r="A59" s="326"/>
      <c r="D59" s="309"/>
      <c r="E59" s="309"/>
      <c r="F59" s="310"/>
      <c r="G59" s="330"/>
      <c r="H59" s="332"/>
      <c r="I59" s="343"/>
      <c r="J59" s="312"/>
      <c r="K59" s="312"/>
    </row>
    <row r="60" spans="1:11" s="308" customFormat="1" ht="14.25" hidden="1" customHeight="1">
      <c r="A60" s="326"/>
      <c r="D60" s="309"/>
      <c r="E60" s="309"/>
      <c r="F60" s="310"/>
      <c r="G60" s="330"/>
      <c r="H60" s="332"/>
      <c r="I60" s="343"/>
      <c r="J60" s="312"/>
      <c r="K60" s="312"/>
    </row>
    <row r="61" spans="1:11" s="308" customFormat="1" ht="14.25" customHeight="1">
      <c r="A61" s="326"/>
      <c r="D61" s="309"/>
      <c r="E61" s="309"/>
      <c r="F61" s="310"/>
      <c r="G61" s="330"/>
      <c r="H61" s="332"/>
      <c r="I61" s="343"/>
      <c r="J61" s="312"/>
      <c r="K61" s="312"/>
    </row>
    <row r="62" spans="1:11" s="308" customFormat="1" ht="18" customHeight="1">
      <c r="A62" s="354" t="s">
        <v>162</v>
      </c>
      <c r="D62" s="309"/>
      <c r="E62" s="309"/>
      <c r="F62" s="310"/>
      <c r="G62" s="312"/>
      <c r="H62" s="319"/>
      <c r="I62" s="319"/>
      <c r="J62" s="312"/>
    </row>
    <row r="63" spans="1:11" s="308" customFormat="1" ht="10.5" customHeight="1">
      <c r="A63" s="354"/>
      <c r="D63" s="309"/>
      <c r="E63" s="309"/>
      <c r="F63" s="310"/>
      <c r="G63" s="312"/>
      <c r="H63" s="319"/>
      <c r="I63" s="319"/>
      <c r="J63" s="312"/>
    </row>
    <row r="64" spans="1:11" s="308" customFormat="1" ht="15" customHeight="1">
      <c r="B64" s="313" t="s">
        <v>143</v>
      </c>
      <c r="C64" s="314"/>
      <c r="D64" s="309"/>
      <c r="E64" s="309"/>
      <c r="F64" s="310"/>
      <c r="G64" s="315"/>
      <c r="H64" s="316"/>
      <c r="I64" s="316"/>
      <c r="J64" s="312"/>
    </row>
    <row r="65" spans="2:10" s="308" customFormat="1" ht="9" customHeight="1">
      <c r="B65" s="313"/>
      <c r="C65" s="314"/>
      <c r="D65" s="309"/>
      <c r="E65" s="309"/>
      <c r="F65" s="310"/>
      <c r="G65" s="315"/>
      <c r="H65" s="316"/>
      <c r="I65" s="316"/>
      <c r="J65" s="312"/>
    </row>
    <row r="66" spans="2:10" s="308" customFormat="1" ht="15">
      <c r="B66" s="317" t="s">
        <v>74</v>
      </c>
      <c r="C66" s="318" t="s">
        <v>163</v>
      </c>
      <c r="D66" s="355"/>
      <c r="E66" s="355"/>
      <c r="F66" s="356"/>
      <c r="G66" s="312"/>
      <c r="H66" s="321"/>
      <c r="I66" s="319"/>
      <c r="J66" s="312"/>
    </row>
    <row r="67" spans="2:10" s="308" customFormat="1" ht="11.25" customHeight="1">
      <c r="D67" s="309"/>
      <c r="E67" s="309"/>
      <c r="F67" s="310"/>
      <c r="G67" s="312"/>
      <c r="H67" s="321"/>
      <c r="I67" s="319"/>
      <c r="J67" s="312"/>
    </row>
    <row r="68" spans="2:10" s="308" customFormat="1" ht="14.25" hidden="1" customHeight="1">
      <c r="C68" s="324"/>
      <c r="D68" s="355" t="s">
        <v>164</v>
      </c>
      <c r="E68" s="355"/>
      <c r="F68" s="356"/>
      <c r="G68" s="338"/>
      <c r="H68" s="325"/>
      <c r="I68" s="319"/>
      <c r="J68" s="312"/>
    </row>
    <row r="69" spans="2:10" s="308" customFormat="1" ht="14.25" hidden="1" customHeight="1">
      <c r="C69" s="324"/>
      <c r="D69" s="340" t="s">
        <v>165</v>
      </c>
      <c r="E69" s="340"/>
      <c r="F69" s="357">
        <v>0</v>
      </c>
      <c r="G69" s="338"/>
      <c r="H69" s="325"/>
      <c r="I69" s="319">
        <f>SUM(G69:H69)</f>
        <v>0</v>
      </c>
      <c r="J69" s="312">
        <f>G69-F69</f>
        <v>0</v>
      </c>
    </row>
    <row r="70" spans="2:10" s="308" customFormat="1" ht="14.25" hidden="1" customHeight="1">
      <c r="C70" s="324"/>
      <c r="D70" s="355" t="s">
        <v>166</v>
      </c>
      <c r="E70" s="355"/>
      <c r="F70" s="358"/>
      <c r="G70" s="312"/>
      <c r="H70" s="325"/>
      <c r="I70" s="319"/>
      <c r="J70" s="312">
        <f>G70-F70</f>
        <v>0</v>
      </c>
    </row>
    <row r="71" spans="2:10" s="308" customFormat="1" ht="14.25" hidden="1" customHeight="1">
      <c r="C71" s="324"/>
      <c r="D71" s="340" t="s">
        <v>167</v>
      </c>
      <c r="E71" s="340"/>
      <c r="F71" s="357">
        <v>0</v>
      </c>
      <c r="G71" s="312"/>
      <c r="H71" s="321"/>
      <c r="I71" s="319">
        <f>SUM(G71:H71)</f>
        <v>0</v>
      </c>
      <c r="J71" s="312">
        <f>G71-F71</f>
        <v>0</v>
      </c>
    </row>
    <row r="72" spans="2:10" s="308" customFormat="1" ht="14.25" hidden="1" customHeight="1">
      <c r="C72" s="324"/>
      <c r="D72" s="355" t="s">
        <v>168</v>
      </c>
      <c r="E72" s="355"/>
      <c r="F72" s="358"/>
      <c r="G72" s="312"/>
      <c r="H72" s="325"/>
      <c r="I72" s="319"/>
      <c r="J72" s="312">
        <f>G72-F72</f>
        <v>0</v>
      </c>
    </row>
    <row r="73" spans="2:10" s="308" customFormat="1" ht="14.25" hidden="1" customHeight="1">
      <c r="C73" s="324"/>
      <c r="D73" s="340" t="s">
        <v>167</v>
      </c>
      <c r="E73" s="340"/>
      <c r="F73" s="357">
        <v>0</v>
      </c>
      <c r="G73" s="312"/>
      <c r="H73" s="321"/>
      <c r="I73" s="319">
        <f>SUM(G73:H73)</f>
        <v>0</v>
      </c>
      <c r="J73" s="312">
        <f>G73-F73</f>
        <v>0</v>
      </c>
    </row>
    <row r="74" spans="2:10" s="308" customFormat="1" ht="14.25" hidden="1" customHeight="1">
      <c r="C74" s="324"/>
      <c r="D74" s="355" t="s">
        <v>169</v>
      </c>
      <c r="E74" s="355"/>
      <c r="F74" s="358"/>
      <c r="G74" s="312"/>
      <c r="H74" s="325"/>
      <c r="I74" s="319"/>
      <c r="J74" s="312"/>
    </row>
    <row r="75" spans="2:10" s="308" customFormat="1" ht="14.25" hidden="1" customHeight="1">
      <c r="C75" s="324"/>
      <c r="D75" s="340"/>
      <c r="E75" s="340"/>
      <c r="F75" s="357"/>
      <c r="G75" s="312"/>
      <c r="H75" s="321"/>
      <c r="I75" s="319">
        <f>SUM(G75:H75)</f>
        <v>0</v>
      </c>
      <c r="J75" s="312"/>
    </row>
    <row r="76" spans="2:10" s="308" customFormat="1" ht="14.25" hidden="1" customHeight="1">
      <c r="C76" s="324"/>
      <c r="D76" s="355" t="s">
        <v>170</v>
      </c>
      <c r="E76" s="355"/>
      <c r="F76" s="358"/>
      <c r="G76" s="312"/>
      <c r="H76" s="325"/>
      <c r="I76" s="319"/>
      <c r="J76" s="312"/>
    </row>
    <row r="77" spans="2:10" s="308" customFormat="1" ht="14.25" hidden="1" customHeight="1">
      <c r="C77" s="324"/>
      <c r="D77" s="340"/>
      <c r="E77" s="340"/>
      <c r="F77" s="357"/>
      <c r="G77" s="312"/>
      <c r="H77" s="321"/>
      <c r="I77" s="319">
        <f>SUM(G77:H77)</f>
        <v>0</v>
      </c>
      <c r="J77" s="312"/>
    </row>
    <row r="78" spans="2:10" s="308" customFormat="1" ht="14.25" hidden="1" customHeight="1">
      <c r="C78" s="324"/>
      <c r="D78" s="355" t="s">
        <v>171</v>
      </c>
      <c r="E78" s="355"/>
      <c r="F78" s="358"/>
      <c r="G78" s="312"/>
      <c r="H78" s="325"/>
      <c r="I78" s="319"/>
      <c r="J78" s="312"/>
    </row>
    <row r="79" spans="2:10" s="308" customFormat="1" ht="14.25" hidden="1" customHeight="1">
      <c r="C79" s="324"/>
      <c r="D79" s="340"/>
      <c r="E79" s="340"/>
      <c r="F79" s="357"/>
      <c r="G79" s="312"/>
      <c r="H79" s="321"/>
      <c r="I79" s="319">
        <f>SUM(G79:H79)</f>
        <v>0</v>
      </c>
      <c r="J79" s="312"/>
    </row>
    <row r="80" spans="2:10" s="308" customFormat="1" ht="14.25" hidden="1" customHeight="1">
      <c r="C80" s="324"/>
      <c r="D80" s="359" t="s">
        <v>172</v>
      </c>
      <c r="E80" s="359"/>
      <c r="F80" s="360"/>
      <c r="G80" s="312"/>
      <c r="H80" s="325"/>
      <c r="I80" s="319"/>
      <c r="J80" s="312"/>
    </row>
    <row r="81" spans="3:10" s="308" customFormat="1" ht="14.25" hidden="1" customHeight="1">
      <c r="C81" s="324"/>
      <c r="D81" s="340"/>
      <c r="E81" s="340"/>
      <c r="F81" s="357"/>
      <c r="G81" s="312"/>
      <c r="H81" s="321"/>
      <c r="I81" s="319">
        <f>SUM(G81:H81)</f>
        <v>0</v>
      </c>
      <c r="J81" s="312"/>
    </row>
    <row r="82" spans="3:10" s="308" customFormat="1" ht="14.25" hidden="1" customHeight="1">
      <c r="C82" s="324"/>
      <c r="D82" s="359" t="s">
        <v>173</v>
      </c>
      <c r="E82" s="359"/>
      <c r="F82" s="360"/>
      <c r="G82" s="312"/>
      <c r="H82" s="325"/>
      <c r="I82" s="319"/>
      <c r="J82" s="312"/>
    </row>
    <row r="83" spans="3:10" s="308" customFormat="1" ht="14.25" hidden="1" customHeight="1">
      <c r="C83" s="324"/>
      <c r="D83" s="340"/>
      <c r="E83" s="340"/>
      <c r="F83" s="357"/>
      <c r="G83" s="312"/>
      <c r="H83" s="321"/>
      <c r="I83" s="319">
        <f>SUM(G83:H83)</f>
        <v>0</v>
      </c>
      <c r="J83" s="312"/>
    </row>
    <row r="84" spans="3:10" s="308" customFormat="1" ht="14.25" hidden="1" customHeight="1">
      <c r="C84" s="324"/>
      <c r="D84" s="355" t="s">
        <v>174</v>
      </c>
      <c r="E84" s="355"/>
      <c r="F84" s="358"/>
      <c r="G84" s="312"/>
      <c r="H84" s="325"/>
      <c r="I84" s="319"/>
      <c r="J84" s="312"/>
    </row>
    <row r="85" spans="3:10" s="308" customFormat="1" ht="14.25" hidden="1" customHeight="1">
      <c r="C85" s="324"/>
      <c r="D85" s="340"/>
      <c r="E85" s="340"/>
      <c r="F85" s="357"/>
      <c r="G85" s="312"/>
      <c r="H85" s="321"/>
      <c r="I85" s="319">
        <f>SUM(G85:H85)</f>
        <v>0</v>
      </c>
      <c r="J85" s="312"/>
    </row>
    <row r="86" spans="3:10" s="308" customFormat="1" ht="14.25" hidden="1" customHeight="1">
      <c r="C86" s="324"/>
      <c r="D86" s="355" t="s">
        <v>175</v>
      </c>
      <c r="E86" s="355"/>
      <c r="F86" s="358"/>
      <c r="G86" s="312"/>
      <c r="H86" s="325"/>
      <c r="I86" s="319"/>
      <c r="J86" s="312"/>
    </row>
    <row r="87" spans="3:10" s="308" customFormat="1" ht="14.25" hidden="1" customHeight="1">
      <c r="C87" s="324"/>
      <c r="D87" s="340"/>
      <c r="E87" s="340"/>
      <c r="F87" s="357"/>
      <c r="G87" s="312"/>
      <c r="H87" s="321"/>
      <c r="I87" s="319">
        <f>SUM(G87:H87)</f>
        <v>0</v>
      </c>
      <c r="J87" s="312"/>
    </row>
    <row r="88" spans="3:10" s="308" customFormat="1" ht="14.25" hidden="1" customHeight="1">
      <c r="C88" s="324"/>
      <c r="D88" s="355" t="s">
        <v>176</v>
      </c>
      <c r="E88" s="355"/>
      <c r="F88" s="358"/>
      <c r="G88" s="312"/>
      <c r="H88" s="325"/>
      <c r="I88" s="319"/>
      <c r="J88" s="312"/>
    </row>
    <row r="89" spans="3:10" s="308" customFormat="1" ht="14.25" hidden="1" customHeight="1">
      <c r="C89" s="324"/>
      <c r="D89" s="340"/>
      <c r="E89" s="340"/>
      <c r="F89" s="357"/>
      <c r="G89" s="312"/>
      <c r="H89" s="321"/>
      <c r="I89" s="319">
        <f>SUM(G89:H89)</f>
        <v>0</v>
      </c>
      <c r="J89" s="312"/>
    </row>
    <row r="90" spans="3:10" s="308" customFormat="1" ht="14.25" hidden="1" customHeight="1">
      <c r="C90" s="324"/>
      <c r="D90" s="340"/>
      <c r="E90" s="340"/>
      <c r="F90" s="357"/>
      <c r="G90" s="312"/>
      <c r="H90" s="321"/>
      <c r="I90" s="319">
        <f>SUM(G90:H90)</f>
        <v>0</v>
      </c>
      <c r="J90" s="312"/>
    </row>
    <row r="91" spans="3:10" s="308" customFormat="1" ht="14.25" hidden="1" customHeight="1">
      <c r="C91" s="324"/>
      <c r="D91" s="355" t="s">
        <v>177</v>
      </c>
      <c r="E91" s="355"/>
      <c r="F91" s="358"/>
      <c r="G91" s="312"/>
      <c r="H91" s="321"/>
      <c r="I91" s="319"/>
      <c r="J91" s="312">
        <f t="shared" ref="J91:J96" si="3">G91-F91</f>
        <v>0</v>
      </c>
    </row>
    <row r="92" spans="3:10" s="308" customFormat="1" ht="14.25" hidden="1" customHeight="1">
      <c r="C92" s="324"/>
      <c r="D92" s="340" t="s">
        <v>167</v>
      </c>
      <c r="E92" s="361"/>
      <c r="F92" s="357">
        <v>0</v>
      </c>
      <c r="G92" s="312"/>
      <c r="H92" s="321"/>
      <c r="I92" s="319">
        <f>SUM(G92:H92)</f>
        <v>0</v>
      </c>
      <c r="J92" s="312">
        <f t="shared" si="3"/>
        <v>0</v>
      </c>
    </row>
    <row r="93" spans="3:10" s="308" customFormat="1" ht="14.25" hidden="1" customHeight="1">
      <c r="C93" s="324"/>
      <c r="D93" s="361"/>
      <c r="E93" s="361"/>
      <c r="F93" s="357"/>
      <c r="G93" s="312"/>
      <c r="H93" s="321"/>
      <c r="I93" s="319">
        <f>SUM(G93:H93)</f>
        <v>0</v>
      </c>
      <c r="J93" s="312">
        <f t="shared" si="3"/>
        <v>0</v>
      </c>
    </row>
    <row r="94" spans="3:10" s="308" customFormat="1" ht="14.25" hidden="1" customHeight="1">
      <c r="C94" s="324"/>
      <c r="D94" s="355" t="s">
        <v>178</v>
      </c>
      <c r="E94" s="355"/>
      <c r="F94" s="358"/>
      <c r="G94" s="312"/>
      <c r="H94" s="321"/>
      <c r="I94" s="319"/>
      <c r="J94" s="312">
        <f t="shared" si="3"/>
        <v>0</v>
      </c>
    </row>
    <row r="95" spans="3:10" s="308" customFormat="1" ht="14.25" hidden="1" customHeight="1">
      <c r="C95" s="324"/>
      <c r="D95" s="361"/>
      <c r="E95" s="361"/>
      <c r="F95" s="357"/>
      <c r="G95" s="312"/>
      <c r="H95" s="321"/>
      <c r="I95" s="319">
        <f>SUM(G95:H95)</f>
        <v>0</v>
      </c>
      <c r="J95" s="312">
        <f t="shared" si="3"/>
        <v>0</v>
      </c>
    </row>
    <row r="96" spans="3:10" s="308" customFormat="1" ht="14.25" hidden="1" customHeight="1">
      <c r="C96" s="324"/>
      <c r="D96" s="355"/>
      <c r="E96" s="361"/>
      <c r="F96" s="357"/>
      <c r="G96" s="312"/>
      <c r="H96" s="321"/>
      <c r="I96" s="319">
        <f>SUM(G96:H96)</f>
        <v>0</v>
      </c>
      <c r="J96" s="312">
        <f t="shared" si="3"/>
        <v>0</v>
      </c>
    </row>
    <row r="97" spans="3:10" s="308" customFormat="1" ht="14.25" customHeight="1">
      <c r="C97" s="324"/>
      <c r="D97" s="355" t="s">
        <v>179</v>
      </c>
      <c r="E97" s="361"/>
      <c r="F97" s="357"/>
      <c r="G97" s="312"/>
      <c r="H97" s="321"/>
      <c r="I97" s="319"/>
      <c r="J97" s="312"/>
    </row>
    <row r="98" spans="3:10" s="308" customFormat="1" ht="14.25" customHeight="1">
      <c r="C98" s="324"/>
      <c r="D98" s="340" t="s">
        <v>180</v>
      </c>
      <c r="E98" s="361"/>
      <c r="F98" s="357"/>
      <c r="G98" s="312"/>
      <c r="H98" s="321"/>
      <c r="I98" s="319">
        <v>1200000</v>
      </c>
      <c r="J98" s="319">
        <v>1200000</v>
      </c>
    </row>
    <row r="99" spans="3:10" s="308" customFormat="1" ht="14.25" customHeight="1">
      <c r="C99" s="324"/>
      <c r="D99" s="340" t="s">
        <v>181</v>
      </c>
      <c r="E99" s="361"/>
      <c r="F99" s="357"/>
      <c r="G99" s="312"/>
      <c r="H99" s="321"/>
      <c r="I99" s="319">
        <v>800000</v>
      </c>
      <c r="J99" s="312">
        <v>800000</v>
      </c>
    </row>
    <row r="100" spans="3:10" s="308" customFormat="1" ht="14.25" customHeight="1">
      <c r="C100" s="324"/>
      <c r="D100" s="340" t="s">
        <v>182</v>
      </c>
      <c r="E100" s="361"/>
      <c r="F100" s="357"/>
      <c r="G100" s="312"/>
      <c r="H100" s="321"/>
      <c r="I100" s="319">
        <v>400000</v>
      </c>
      <c r="J100" s="312">
        <v>400000</v>
      </c>
    </row>
    <row r="101" spans="3:10" s="308" customFormat="1" ht="14.25" customHeight="1">
      <c r="C101" s="324"/>
      <c r="D101" s="363" t="s">
        <v>183</v>
      </c>
      <c r="E101" s="361"/>
      <c r="F101" s="357"/>
      <c r="G101" s="312"/>
      <c r="H101" s="321"/>
      <c r="I101" s="319">
        <v>700000</v>
      </c>
      <c r="J101" s="312">
        <v>700000</v>
      </c>
    </row>
    <row r="102" spans="3:10" s="308" customFormat="1" ht="14.25" customHeight="1">
      <c r="C102" s="324"/>
      <c r="D102" s="363" t="s">
        <v>184</v>
      </c>
      <c r="E102" s="361"/>
      <c r="F102" s="357"/>
      <c r="G102" s="312"/>
      <c r="H102" s="321"/>
      <c r="I102" s="319">
        <v>600000</v>
      </c>
      <c r="J102" s="312">
        <v>600000</v>
      </c>
    </row>
    <row r="103" spans="3:10" s="308" customFormat="1" ht="14.25" customHeight="1">
      <c r="C103" s="324"/>
      <c r="D103" s="340" t="s">
        <v>185</v>
      </c>
      <c r="E103" s="361"/>
      <c r="F103" s="357"/>
      <c r="G103" s="312"/>
      <c r="H103" s="321"/>
      <c r="I103" s="319">
        <v>450000</v>
      </c>
      <c r="J103" s="312">
        <v>450000</v>
      </c>
    </row>
    <row r="104" spans="3:10" s="308" customFormat="1" ht="14.25" customHeight="1">
      <c r="C104" s="324"/>
      <c r="D104" s="340" t="s">
        <v>186</v>
      </c>
      <c r="E104" s="361"/>
      <c r="F104" s="357"/>
      <c r="G104" s="312"/>
      <c r="H104" s="321"/>
      <c r="I104" s="319">
        <v>100000</v>
      </c>
      <c r="J104" s="312">
        <v>100000</v>
      </c>
    </row>
    <row r="105" spans="3:10" s="308" customFormat="1" ht="14.25" customHeight="1">
      <c r="C105" s="324"/>
      <c r="D105" s="340" t="s">
        <v>187</v>
      </c>
      <c r="E105" s="361"/>
      <c r="F105" s="357"/>
      <c r="G105" s="312"/>
      <c r="H105" s="321"/>
      <c r="I105" s="319">
        <v>200000</v>
      </c>
      <c r="J105" s="312">
        <v>200000</v>
      </c>
    </row>
    <row r="106" spans="3:10" s="308" customFormat="1" ht="14.25" customHeight="1">
      <c r="C106" s="324"/>
      <c r="D106" s="340" t="s">
        <v>188</v>
      </c>
      <c r="E106" s="361"/>
      <c r="F106" s="357"/>
      <c r="G106" s="312"/>
      <c r="H106" s="321"/>
      <c r="I106" s="319">
        <v>1170000</v>
      </c>
      <c r="J106" s="312">
        <v>1170000</v>
      </c>
    </row>
    <row r="107" spans="3:10" s="308" customFormat="1" ht="14.25" hidden="1" customHeight="1">
      <c r="C107" s="324"/>
      <c r="D107" s="364" t="s">
        <v>189</v>
      </c>
      <c r="E107" s="361"/>
      <c r="F107" s="365"/>
      <c r="G107" s="338"/>
      <c r="H107" s="339"/>
      <c r="I107" s="319"/>
      <c r="J107" s="312"/>
    </row>
    <row r="108" spans="3:10" s="308" customFormat="1" ht="14.25" customHeight="1">
      <c r="C108" s="324"/>
      <c r="D108" s="366" t="s">
        <v>190</v>
      </c>
      <c r="E108" s="366"/>
      <c r="F108" s="358"/>
      <c r="G108" s="312"/>
      <c r="H108" s="321"/>
      <c r="I108" s="319"/>
      <c r="J108" s="312"/>
    </row>
    <row r="109" spans="3:10" s="308" customFormat="1" ht="14.25" customHeight="1">
      <c r="C109" s="324"/>
      <c r="D109" s="340" t="s">
        <v>191</v>
      </c>
      <c r="E109" s="340"/>
      <c r="F109" s="357"/>
      <c r="G109" s="312">
        <v>241000</v>
      </c>
      <c r="H109" s="367">
        <v>1327000</v>
      </c>
      <c r="I109" s="319">
        <v>1568112</v>
      </c>
      <c r="J109" s="312">
        <v>1568112</v>
      </c>
    </row>
    <row r="110" spans="3:10" s="308" customFormat="1" ht="14.25" customHeight="1">
      <c r="C110" s="324"/>
      <c r="D110" s="340" t="s">
        <v>192</v>
      </c>
      <c r="E110" s="340"/>
      <c r="F110" s="357"/>
      <c r="G110" s="312"/>
      <c r="H110" s="367"/>
      <c r="I110" s="319">
        <v>67181</v>
      </c>
      <c r="J110" s="312">
        <v>67181</v>
      </c>
    </row>
    <row r="111" spans="3:10" s="308" customFormat="1" ht="14.25" customHeight="1">
      <c r="C111" s="324"/>
      <c r="D111" s="366" t="s">
        <v>193</v>
      </c>
      <c r="E111" s="366"/>
      <c r="F111" s="358"/>
      <c r="G111" s="312"/>
      <c r="H111" s="321"/>
      <c r="I111" s="319"/>
      <c r="J111" s="312"/>
    </row>
    <row r="112" spans="3:10" s="308" customFormat="1" ht="14.25" customHeight="1">
      <c r="C112" s="324"/>
      <c r="D112" s="340" t="s">
        <v>194</v>
      </c>
      <c r="E112" s="340"/>
      <c r="F112" s="357">
        <v>2849451</v>
      </c>
      <c r="G112" s="312">
        <v>40992519</v>
      </c>
      <c r="H112" s="367">
        <v>-1580179</v>
      </c>
      <c r="I112" s="319">
        <v>37660317</v>
      </c>
      <c r="J112" s="312">
        <v>37660317</v>
      </c>
    </row>
    <row r="113" spans="3:10" s="308" customFormat="1" ht="14.25" customHeight="1">
      <c r="C113" s="324"/>
      <c r="D113" s="340" t="s">
        <v>195</v>
      </c>
      <c r="E113" s="340"/>
      <c r="F113" s="357"/>
      <c r="G113" s="312">
        <v>2356712</v>
      </c>
      <c r="H113" s="367"/>
      <c r="I113" s="319">
        <v>10081316</v>
      </c>
      <c r="J113" s="312">
        <v>10081316</v>
      </c>
    </row>
    <row r="114" spans="3:10" s="308" customFormat="1" ht="14.25" customHeight="1">
      <c r="C114" s="324"/>
      <c r="D114" s="340" t="s">
        <v>192</v>
      </c>
      <c r="E114" s="340"/>
      <c r="F114" s="357"/>
      <c r="G114" s="312"/>
      <c r="H114" s="367"/>
      <c r="I114" s="319">
        <v>95311</v>
      </c>
      <c r="J114" s="312">
        <v>95311</v>
      </c>
    </row>
    <row r="115" spans="3:10" s="308" customFormat="1" ht="14.25" customHeight="1">
      <c r="C115" s="324"/>
      <c r="D115" s="366" t="s">
        <v>176</v>
      </c>
      <c r="E115" s="340"/>
      <c r="F115" s="357"/>
      <c r="G115" s="312"/>
      <c r="H115" s="367"/>
      <c r="I115" s="319"/>
      <c r="J115" s="312"/>
    </row>
    <row r="116" spans="3:10" s="308" customFormat="1" ht="14.25" customHeight="1">
      <c r="C116" s="324"/>
      <c r="D116" s="340" t="s">
        <v>192</v>
      </c>
      <c r="E116" s="340"/>
      <c r="F116" s="357"/>
      <c r="G116" s="312"/>
      <c r="H116" s="367"/>
      <c r="I116" s="319">
        <v>35654</v>
      </c>
      <c r="J116" s="312">
        <v>35654</v>
      </c>
    </row>
    <row r="117" spans="3:10" s="308" customFormat="1" ht="14.25" customHeight="1">
      <c r="C117" s="324"/>
      <c r="D117" s="366" t="s">
        <v>196</v>
      </c>
      <c r="E117" s="340"/>
      <c r="F117" s="357"/>
      <c r="G117" s="312"/>
      <c r="H117" s="367"/>
      <c r="I117" s="319"/>
      <c r="J117" s="312"/>
    </row>
    <row r="118" spans="3:10" s="308" customFormat="1" ht="14.25" customHeight="1">
      <c r="C118" s="324"/>
      <c r="D118" s="340" t="s">
        <v>192</v>
      </c>
      <c r="E118" s="340"/>
      <c r="F118" s="357"/>
      <c r="G118" s="312"/>
      <c r="H118" s="367"/>
      <c r="I118" s="319">
        <v>7802</v>
      </c>
      <c r="J118" s="312">
        <v>7802</v>
      </c>
    </row>
    <row r="119" spans="3:10" s="308" customFormat="1" ht="14.25" customHeight="1">
      <c r="C119" s="324"/>
      <c r="D119" s="366" t="s">
        <v>171</v>
      </c>
      <c r="E119" s="340"/>
      <c r="F119" s="357"/>
      <c r="G119" s="312"/>
      <c r="H119" s="367"/>
      <c r="I119" s="319"/>
      <c r="J119" s="312"/>
    </row>
    <row r="120" spans="3:10" s="308" customFormat="1" ht="14.25" customHeight="1">
      <c r="C120" s="324"/>
      <c r="D120" s="340" t="s">
        <v>192</v>
      </c>
      <c r="E120" s="340"/>
      <c r="F120" s="357"/>
      <c r="G120" s="312"/>
      <c r="H120" s="367"/>
      <c r="I120" s="319">
        <v>27082</v>
      </c>
      <c r="J120" s="312">
        <v>27082</v>
      </c>
    </row>
    <row r="121" spans="3:10" s="308" customFormat="1" ht="14.25" customHeight="1">
      <c r="C121" s="324"/>
      <c r="D121" s="366" t="s">
        <v>174</v>
      </c>
      <c r="E121" s="340"/>
      <c r="F121" s="357"/>
      <c r="G121" s="312"/>
      <c r="H121" s="367"/>
      <c r="J121" s="312"/>
    </row>
    <row r="122" spans="3:10" s="308" customFormat="1" ht="14.25" customHeight="1">
      <c r="C122" s="324"/>
      <c r="D122" s="340" t="s">
        <v>192</v>
      </c>
      <c r="E122" s="340"/>
      <c r="F122" s="357"/>
      <c r="G122" s="312"/>
      <c r="H122" s="367"/>
      <c r="I122" s="319">
        <v>34884</v>
      </c>
      <c r="J122" s="312">
        <v>34884</v>
      </c>
    </row>
    <row r="123" spans="3:10" s="308" customFormat="1" ht="14.25" customHeight="1">
      <c r="C123" s="324"/>
      <c r="D123" s="366" t="s">
        <v>172</v>
      </c>
      <c r="E123" s="340"/>
      <c r="F123" s="357"/>
      <c r="G123" s="312"/>
      <c r="H123" s="367"/>
      <c r="I123" s="319"/>
      <c r="J123" s="312"/>
    </row>
    <row r="124" spans="3:10" s="308" customFormat="1" ht="14.25" customHeight="1">
      <c r="C124" s="324"/>
      <c r="D124" s="340" t="s">
        <v>192</v>
      </c>
      <c r="E124" s="340"/>
      <c r="F124" s="357"/>
      <c r="G124" s="312"/>
      <c r="H124" s="367"/>
      <c r="I124" s="319">
        <v>44086</v>
      </c>
      <c r="J124" s="312">
        <v>44086</v>
      </c>
    </row>
    <row r="125" spans="3:10" s="308" customFormat="1" ht="14.25" customHeight="1">
      <c r="C125" s="324"/>
      <c r="D125" s="366" t="s">
        <v>170</v>
      </c>
      <c r="E125" s="340"/>
      <c r="F125" s="357"/>
      <c r="G125" s="312"/>
      <c r="H125" s="367"/>
      <c r="I125" s="319"/>
      <c r="J125" s="312"/>
    </row>
    <row r="126" spans="3:10" s="308" customFormat="1" ht="14.25" customHeight="1">
      <c r="C126" s="324"/>
      <c r="D126" s="340" t="s">
        <v>192</v>
      </c>
      <c r="E126" s="340"/>
      <c r="F126" s="357"/>
      <c r="G126" s="312"/>
      <c r="H126" s="367"/>
      <c r="I126" s="319">
        <v>58426</v>
      </c>
      <c r="J126" s="312">
        <v>58426</v>
      </c>
    </row>
    <row r="127" spans="3:10" s="308" customFormat="1" ht="14.25" customHeight="1">
      <c r="C127" s="324"/>
      <c r="D127" s="366" t="s">
        <v>173</v>
      </c>
      <c r="E127" s="340"/>
      <c r="F127" s="357"/>
      <c r="G127" s="312"/>
      <c r="H127" s="367"/>
      <c r="I127" s="319"/>
      <c r="J127" s="312"/>
    </row>
    <row r="128" spans="3:10" s="308" customFormat="1" ht="14.25" customHeight="1">
      <c r="C128" s="324"/>
      <c r="D128" s="340" t="s">
        <v>192</v>
      </c>
      <c r="E128" s="340"/>
      <c r="F128" s="357"/>
      <c r="G128" s="312"/>
      <c r="H128" s="367"/>
      <c r="I128" s="319">
        <v>53166</v>
      </c>
      <c r="J128" s="312">
        <v>53166</v>
      </c>
    </row>
    <row r="129" spans="2:11" s="308" customFormat="1" ht="14.25" customHeight="1">
      <c r="C129" s="324"/>
      <c r="D129" s="366" t="s">
        <v>197</v>
      </c>
      <c r="E129" s="340"/>
      <c r="F129" s="357"/>
      <c r="G129" s="312"/>
      <c r="H129" s="367"/>
      <c r="I129" s="319"/>
      <c r="J129" s="312"/>
    </row>
    <row r="130" spans="2:11" s="308" customFormat="1" ht="14.25" customHeight="1">
      <c r="C130" s="324"/>
      <c r="D130" s="340" t="s">
        <v>192</v>
      </c>
      <c r="E130" s="340"/>
      <c r="F130" s="357"/>
      <c r="G130" s="312"/>
      <c r="H130" s="367"/>
      <c r="I130" s="319">
        <v>21730</v>
      </c>
      <c r="J130" s="312">
        <v>21730</v>
      </c>
    </row>
    <row r="131" spans="2:11" s="308" customFormat="1" ht="14.25" customHeight="1">
      <c r="C131" s="324"/>
      <c r="D131" s="366" t="s">
        <v>198</v>
      </c>
      <c r="E131" s="340"/>
      <c r="F131" s="357"/>
      <c r="G131" s="312"/>
      <c r="H131" s="367"/>
      <c r="I131" s="319"/>
      <c r="J131" s="312"/>
    </row>
    <row r="132" spans="2:11" s="308" customFormat="1" ht="14.25" customHeight="1">
      <c r="C132" s="324"/>
      <c r="D132" s="340" t="s">
        <v>192</v>
      </c>
      <c r="E132" s="340"/>
      <c r="F132" s="357"/>
      <c r="G132" s="312"/>
      <c r="H132" s="367"/>
      <c r="I132" s="319">
        <v>69162</v>
      </c>
      <c r="J132" s="312">
        <v>69162</v>
      </c>
    </row>
    <row r="133" spans="2:11" s="308" customFormat="1" ht="14.25" customHeight="1">
      <c r="C133" s="324"/>
      <c r="D133" s="366" t="s">
        <v>166</v>
      </c>
      <c r="E133" s="340"/>
      <c r="F133" s="357"/>
      <c r="G133" s="312"/>
      <c r="H133" s="367"/>
      <c r="I133" s="319"/>
      <c r="J133" s="312"/>
    </row>
    <row r="134" spans="2:11" s="308" customFormat="1" ht="14.25" customHeight="1">
      <c r="C134" s="324"/>
      <c r="D134" s="340" t="s">
        <v>192</v>
      </c>
      <c r="E134" s="340"/>
      <c r="F134" s="357"/>
      <c r="G134" s="312"/>
      <c r="H134" s="367"/>
      <c r="I134" s="319">
        <v>18538</v>
      </c>
      <c r="J134" s="312">
        <v>18538</v>
      </c>
    </row>
    <row r="135" spans="2:11" s="308" customFormat="1" ht="14.25" customHeight="1">
      <c r="C135" s="324"/>
      <c r="D135" s="366" t="s">
        <v>199</v>
      </c>
      <c r="E135" s="340"/>
      <c r="F135" s="357"/>
      <c r="G135" s="312"/>
      <c r="H135" s="367"/>
      <c r="I135" s="319"/>
      <c r="J135" s="312"/>
    </row>
    <row r="136" spans="2:11" s="308" customFormat="1" ht="14.25" customHeight="1">
      <c r="C136" s="324"/>
      <c r="D136" s="340" t="s">
        <v>192</v>
      </c>
      <c r="E136" s="340"/>
      <c r="F136" s="357"/>
      <c r="G136" s="312"/>
      <c r="H136" s="321"/>
      <c r="I136" s="319">
        <v>48108</v>
      </c>
      <c r="J136" s="312">
        <v>48108</v>
      </c>
    </row>
    <row r="137" spans="2:11" s="308" customFormat="1" ht="14.25" customHeight="1">
      <c r="C137" s="324"/>
      <c r="D137" s="340"/>
      <c r="E137" s="340"/>
      <c r="F137" s="357"/>
      <c r="G137" s="312"/>
      <c r="H137" s="321"/>
      <c r="I137" s="319"/>
      <c r="J137" s="312"/>
    </row>
    <row r="138" spans="2:11" s="308" customFormat="1" ht="16.5" customHeight="1">
      <c r="B138" s="368" t="s">
        <v>74</v>
      </c>
      <c r="C138" s="369" t="s">
        <v>200</v>
      </c>
      <c r="D138" s="366"/>
      <c r="E138" s="309"/>
      <c r="F138" s="327">
        <f>SUM(F69:F113)</f>
        <v>2849451</v>
      </c>
      <c r="G138" s="327">
        <f>SUM(G69:G113)</f>
        <v>43590231</v>
      </c>
      <c r="H138" s="328">
        <f>SUM(H69:H113)</f>
        <v>-253179</v>
      </c>
      <c r="I138" s="329">
        <f>SUM(I69:I137)</f>
        <v>55510875</v>
      </c>
      <c r="J138" s="329">
        <f>SUM(J69:J137)</f>
        <v>55510875</v>
      </c>
      <c r="K138" s="312">
        <f>SUM(G138:H138)</f>
        <v>43337052</v>
      </c>
    </row>
    <row r="139" spans="2:11" s="308" customFormat="1" ht="12.75" customHeight="1">
      <c r="B139" s="333"/>
      <c r="C139" s="326"/>
      <c r="D139" s="340"/>
      <c r="E139" s="309"/>
      <c r="F139" s="330"/>
      <c r="G139" s="330"/>
      <c r="H139" s="332"/>
      <c r="I139" s="343"/>
      <c r="J139" s="343"/>
      <c r="K139" s="312"/>
    </row>
    <row r="140" spans="2:11" s="308" customFormat="1" ht="17.25" customHeight="1">
      <c r="B140" s="333"/>
      <c r="C140" s="326"/>
      <c r="D140" s="309"/>
      <c r="E140" s="309"/>
      <c r="F140" s="330"/>
      <c r="G140" s="330"/>
      <c r="H140" s="319"/>
      <c r="I140" s="343"/>
      <c r="J140" s="343"/>
    </row>
    <row r="141" spans="2:11" s="308" customFormat="1" ht="15" hidden="1" customHeight="1">
      <c r="B141" s="336" t="s">
        <v>75</v>
      </c>
      <c r="C141" s="318" t="s">
        <v>201</v>
      </c>
      <c r="D141" s="309"/>
      <c r="E141" s="309"/>
      <c r="F141" s="312"/>
      <c r="G141" s="312"/>
      <c r="H141" s="319"/>
      <c r="I141" s="319"/>
      <c r="J141" s="319"/>
    </row>
    <row r="142" spans="2:11" s="308" customFormat="1" ht="14.25" hidden="1" customHeight="1">
      <c r="B142" s="352"/>
      <c r="D142" s="309"/>
      <c r="E142" s="309"/>
      <c r="F142" s="312"/>
      <c r="G142" s="312"/>
      <c r="H142" s="319"/>
      <c r="I142" s="319"/>
      <c r="J142" s="319"/>
    </row>
    <row r="143" spans="2:11" s="308" customFormat="1" ht="15" hidden="1" customHeight="1">
      <c r="C143" s="324"/>
      <c r="D143" s="366" t="s">
        <v>179</v>
      </c>
      <c r="E143" s="366"/>
      <c r="F143" s="312"/>
      <c r="G143" s="312"/>
      <c r="H143" s="321"/>
      <c r="I143" s="319"/>
      <c r="J143" s="319"/>
    </row>
    <row r="144" spans="2:11" s="308" customFormat="1" ht="15" hidden="1" customHeight="1">
      <c r="C144" s="324"/>
      <c r="D144" s="361" t="s">
        <v>202</v>
      </c>
      <c r="E144" s="361"/>
      <c r="F144" s="312">
        <v>0</v>
      </c>
      <c r="G144" s="312"/>
      <c r="H144" s="339"/>
      <c r="I144" s="319">
        <f>SUM(G144:H144)</f>
        <v>0</v>
      </c>
      <c r="J144" s="319">
        <f>SUM(H144:I144)</f>
        <v>0</v>
      </c>
    </row>
    <row r="145" spans="2:11" s="308" customFormat="1" ht="15" hidden="1" customHeight="1">
      <c r="C145" s="324"/>
      <c r="D145" s="361"/>
      <c r="E145" s="361"/>
      <c r="F145" s="312"/>
      <c r="G145" s="312">
        <v>0</v>
      </c>
      <c r="H145" s="339"/>
      <c r="I145" s="319">
        <f>SUM(G145:H145)</f>
        <v>0</v>
      </c>
      <c r="J145" s="319">
        <f>SUM(H145:I145)</f>
        <v>0</v>
      </c>
    </row>
    <row r="146" spans="2:11" s="308" customFormat="1" ht="15" hidden="1" customHeight="1">
      <c r="C146" s="324"/>
      <c r="D146" s="355" t="s">
        <v>203</v>
      </c>
      <c r="E146" s="355"/>
      <c r="F146" s="312"/>
      <c r="G146" s="312"/>
      <c r="H146" s="321"/>
      <c r="I146" s="319"/>
      <c r="J146" s="319"/>
    </row>
    <row r="147" spans="2:11" s="308" customFormat="1" ht="15" hidden="1" customHeight="1">
      <c r="C147" s="324"/>
      <c r="D147" s="340"/>
      <c r="E147" s="340"/>
      <c r="F147" s="312">
        <v>0</v>
      </c>
      <c r="G147" s="312">
        <v>0</v>
      </c>
      <c r="H147" s="339"/>
      <c r="I147" s="319">
        <f>SUM(G147:H147)</f>
        <v>0</v>
      </c>
      <c r="J147" s="319">
        <f>SUM(H147:I147)</f>
        <v>0</v>
      </c>
    </row>
    <row r="148" spans="2:11" s="308" customFormat="1" ht="12" hidden="1" customHeight="1">
      <c r="C148" s="324"/>
      <c r="D148" s="355" t="s">
        <v>204</v>
      </c>
      <c r="E148" s="355"/>
      <c r="F148" s="312"/>
      <c r="G148" s="312"/>
      <c r="H148" s="321"/>
      <c r="I148" s="319"/>
      <c r="J148" s="319"/>
    </row>
    <row r="149" spans="2:11" s="308" customFormat="1" ht="12" hidden="1" customHeight="1">
      <c r="C149" s="324"/>
      <c r="D149" s="340"/>
      <c r="E149" s="340"/>
      <c r="F149" s="312">
        <v>0</v>
      </c>
      <c r="G149" s="312">
        <v>0</v>
      </c>
      <c r="H149" s="339"/>
      <c r="I149" s="319">
        <f>SUM(G149:H149)</f>
        <v>0</v>
      </c>
      <c r="J149" s="319">
        <f>SUM(H149:I149)</f>
        <v>0</v>
      </c>
    </row>
    <row r="150" spans="2:11" s="308" customFormat="1" ht="12" hidden="1" customHeight="1">
      <c r="C150" s="324"/>
      <c r="D150" s="366" t="s">
        <v>205</v>
      </c>
      <c r="E150" s="366"/>
      <c r="F150" s="312"/>
      <c r="G150" s="312"/>
      <c r="H150" s="321"/>
      <c r="I150" s="319"/>
      <c r="J150" s="319"/>
    </row>
    <row r="151" spans="2:11" s="308" customFormat="1" ht="12.75" hidden="1" customHeight="1">
      <c r="C151" s="324"/>
      <c r="D151" s="340"/>
      <c r="E151" s="340"/>
      <c r="F151" s="312">
        <v>0</v>
      </c>
      <c r="G151" s="312">
        <v>0</v>
      </c>
      <c r="H151" s="339"/>
      <c r="I151" s="319">
        <f>SUM(G151:H151)</f>
        <v>0</v>
      </c>
      <c r="J151" s="319">
        <f>SUM(H151:I151)</f>
        <v>0</v>
      </c>
    </row>
    <row r="152" spans="2:11" s="308" customFormat="1" ht="12.75" hidden="1" customHeight="1">
      <c r="C152" s="324"/>
      <c r="D152" s="366" t="s">
        <v>206</v>
      </c>
      <c r="E152" s="366"/>
      <c r="F152" s="312"/>
      <c r="G152" s="312"/>
      <c r="H152" s="325"/>
      <c r="I152" s="319"/>
      <c r="J152" s="319"/>
    </row>
    <row r="153" spans="2:11" s="308" customFormat="1" ht="12.75" hidden="1" customHeight="1">
      <c r="C153" s="324"/>
      <c r="D153" s="340"/>
      <c r="E153" s="340"/>
      <c r="F153" s="312">
        <v>0</v>
      </c>
      <c r="G153" s="312">
        <v>0</v>
      </c>
      <c r="H153" s="339"/>
      <c r="I153" s="319">
        <f>SUM(G153:H153)</f>
        <v>0</v>
      </c>
      <c r="J153" s="319">
        <f>SUM(H153:I153)</f>
        <v>0</v>
      </c>
    </row>
    <row r="154" spans="2:11" s="308" customFormat="1" ht="12" hidden="1" customHeight="1">
      <c r="C154" s="324"/>
      <c r="D154" s="355" t="s">
        <v>205</v>
      </c>
      <c r="E154" s="355"/>
      <c r="F154" s="312"/>
      <c r="G154" s="312"/>
      <c r="H154" s="321"/>
      <c r="I154" s="319"/>
      <c r="J154" s="319"/>
    </row>
    <row r="155" spans="2:11" s="308" customFormat="1" ht="12.75" hidden="1" customHeight="1">
      <c r="C155" s="324"/>
      <c r="D155" s="340"/>
      <c r="E155" s="340"/>
      <c r="F155" s="312">
        <v>0</v>
      </c>
      <c r="G155" s="312">
        <v>0</v>
      </c>
      <c r="H155" s="367"/>
      <c r="I155" s="319">
        <f>SUM(G155:H155)</f>
        <v>0</v>
      </c>
      <c r="J155" s="319">
        <f>SUM(H155:I155)</f>
        <v>0</v>
      </c>
    </row>
    <row r="156" spans="2:11" s="308" customFormat="1" ht="12.75" hidden="1" customHeight="1">
      <c r="C156" s="324"/>
      <c r="D156" s="355" t="s">
        <v>207</v>
      </c>
      <c r="E156" s="355"/>
      <c r="F156" s="312"/>
      <c r="G156" s="312"/>
      <c r="H156" s="321"/>
      <c r="I156" s="319"/>
      <c r="J156" s="319"/>
    </row>
    <row r="157" spans="2:11" s="308" customFormat="1" ht="12.75" hidden="1" customHeight="1">
      <c r="C157" s="324"/>
      <c r="D157" s="340"/>
      <c r="E157" s="340"/>
      <c r="F157" s="312">
        <v>0</v>
      </c>
      <c r="G157" s="312">
        <v>0</v>
      </c>
      <c r="H157" s="367"/>
      <c r="I157" s="319">
        <f>SUM(G157:H157)</f>
        <v>0</v>
      </c>
      <c r="J157" s="319">
        <f>SUM(H157:I157)</f>
        <v>0</v>
      </c>
    </row>
    <row r="158" spans="2:11" s="308" customFormat="1" ht="12.75" hidden="1" customHeight="1">
      <c r="C158" s="324"/>
      <c r="D158" s="340"/>
      <c r="E158" s="340"/>
      <c r="F158" s="312"/>
      <c r="G158" s="312"/>
      <c r="H158" s="367"/>
      <c r="I158" s="319"/>
      <c r="J158" s="319"/>
    </row>
    <row r="159" spans="2:11" s="308" customFormat="1" ht="11.25" hidden="1" customHeight="1">
      <c r="C159" s="324"/>
      <c r="D159" s="340"/>
      <c r="E159" s="340"/>
      <c r="F159" s="312"/>
      <c r="G159" s="312"/>
      <c r="H159" s="321"/>
      <c r="I159" s="319"/>
      <c r="J159" s="319"/>
    </row>
    <row r="160" spans="2:11" s="308" customFormat="1" ht="16.5" customHeight="1">
      <c r="B160" s="368" t="s">
        <v>75</v>
      </c>
      <c r="C160" s="369" t="s">
        <v>208</v>
      </c>
      <c r="D160" s="309"/>
      <c r="E160" s="309"/>
      <c r="F160" s="327">
        <f>SUM(F143:F159)</f>
        <v>0</v>
      </c>
      <c r="G160" s="327">
        <f>SUM(G143:G159)</f>
        <v>0</v>
      </c>
      <c r="H160" s="328">
        <f>SUM(H143:H159)</f>
        <v>0</v>
      </c>
      <c r="I160" s="334">
        <f>SUM(I143:I159)</f>
        <v>0</v>
      </c>
      <c r="J160" s="334">
        <f>SUM(J143:J159)</f>
        <v>0</v>
      </c>
      <c r="K160" s="312">
        <f>SUM(G160:H160)</f>
        <v>0</v>
      </c>
    </row>
    <row r="161" spans="2:11" s="308" customFormat="1" ht="15" customHeight="1">
      <c r="D161" s="309"/>
      <c r="E161" s="309"/>
      <c r="F161" s="312"/>
      <c r="G161" s="312"/>
      <c r="H161" s="319"/>
      <c r="I161" s="319"/>
      <c r="J161" s="319"/>
    </row>
    <row r="162" spans="2:11" s="308" customFormat="1" ht="15" customHeight="1">
      <c r="B162" s="368" t="s">
        <v>76</v>
      </c>
      <c r="C162" s="370" t="s">
        <v>209</v>
      </c>
      <c r="D162" s="309"/>
      <c r="E162" s="309"/>
      <c r="F162" s="371">
        <v>1022528000</v>
      </c>
      <c r="G162" s="371">
        <v>1022528000</v>
      </c>
      <c r="H162" s="341">
        <v>-1327000</v>
      </c>
      <c r="I162" s="334">
        <v>1086764500</v>
      </c>
      <c r="J162" s="334">
        <v>1086764500</v>
      </c>
      <c r="K162" s="312">
        <f>SUM(G162:H162)</f>
        <v>1021201000</v>
      </c>
    </row>
    <row r="163" spans="2:11" s="308" customFormat="1" ht="13.5" customHeight="1">
      <c r="D163" s="309"/>
      <c r="E163" s="309"/>
      <c r="F163" s="312"/>
      <c r="G163" s="312"/>
      <c r="H163" s="319"/>
      <c r="I163" s="319"/>
      <c r="J163" s="319"/>
    </row>
    <row r="164" spans="2:11" s="308" customFormat="1" ht="16.5" customHeight="1">
      <c r="C164" s="344" t="s">
        <v>210</v>
      </c>
      <c r="D164" s="345"/>
      <c r="E164" s="345"/>
      <c r="F164" s="346">
        <f>F138+F160+F162</f>
        <v>1025377451</v>
      </c>
      <c r="G164" s="346">
        <f>G138+G160+G162</f>
        <v>1066118231</v>
      </c>
      <c r="H164" s="328">
        <f>H138+H160+H162</f>
        <v>-1580179</v>
      </c>
      <c r="I164" s="372">
        <f>SUM(I138+I160+I162)</f>
        <v>1142275375</v>
      </c>
      <c r="J164" s="372">
        <f>SUM(J138+J160+J162)</f>
        <v>1142275375</v>
      </c>
      <c r="K164" s="312">
        <f>SUM(G164:H164)</f>
        <v>1064538052</v>
      </c>
    </row>
    <row r="165" spans="2:11" s="308" customFormat="1" ht="15" customHeight="1">
      <c r="D165" s="309"/>
      <c r="E165" s="309"/>
      <c r="F165" s="310"/>
      <c r="G165" s="312"/>
      <c r="H165" s="319"/>
      <c r="I165" s="319"/>
      <c r="J165" s="312"/>
    </row>
    <row r="166" spans="2:11" s="308" customFormat="1" ht="14.25" hidden="1" customHeight="1">
      <c r="D166" s="309"/>
      <c r="E166" s="309"/>
      <c r="F166" s="310"/>
      <c r="G166" s="312"/>
      <c r="H166" s="319"/>
      <c r="I166" s="319"/>
      <c r="J166" s="312"/>
    </row>
    <row r="167" spans="2:11" s="308" customFormat="1" ht="12.75" customHeight="1">
      <c r="B167" s="313" t="s">
        <v>211</v>
      </c>
      <c r="D167" s="309"/>
      <c r="E167" s="309"/>
      <c r="F167" s="310"/>
      <c r="G167" s="312"/>
      <c r="H167" s="319"/>
      <c r="I167" s="319"/>
      <c r="J167" s="312"/>
    </row>
    <row r="168" spans="2:11" s="308" customFormat="1" ht="9" customHeight="1">
      <c r="B168" s="326"/>
      <c r="D168" s="309"/>
      <c r="E168" s="309"/>
      <c r="F168" s="310"/>
      <c r="G168" s="312"/>
      <c r="H168" s="319"/>
      <c r="I168" s="319"/>
      <c r="J168" s="312"/>
    </row>
    <row r="169" spans="2:11" s="326" customFormat="1" ht="15" customHeight="1">
      <c r="B169" s="317" t="s">
        <v>74</v>
      </c>
      <c r="C169" s="318" t="s">
        <v>212</v>
      </c>
      <c r="D169" s="355"/>
      <c r="E169" s="355"/>
      <c r="F169" s="356"/>
      <c r="G169" s="373"/>
      <c r="H169" s="374"/>
      <c r="I169" s="374"/>
      <c r="J169" s="373"/>
    </row>
    <row r="170" spans="2:11" s="308" customFormat="1" ht="7.5" customHeight="1">
      <c r="C170" s="324"/>
      <c r="D170" s="309"/>
      <c r="E170" s="309"/>
      <c r="F170" s="310"/>
      <c r="G170" s="312"/>
      <c r="H170" s="319"/>
      <c r="I170" s="319"/>
      <c r="J170" s="312"/>
    </row>
    <row r="171" spans="2:11" s="308" customFormat="1" ht="15" hidden="1" customHeight="1">
      <c r="C171" s="324"/>
      <c r="D171" s="355" t="s">
        <v>213</v>
      </c>
      <c r="E171" s="355"/>
      <c r="F171" s="356"/>
      <c r="G171" s="338"/>
      <c r="H171" s="325"/>
      <c r="I171" s="319"/>
      <c r="J171" s="312"/>
    </row>
    <row r="172" spans="2:11" s="308" customFormat="1" ht="15" hidden="1" customHeight="1">
      <c r="C172" s="324"/>
      <c r="D172" s="340" t="s">
        <v>214</v>
      </c>
      <c r="E172" s="340"/>
      <c r="F172" s="375"/>
      <c r="G172" s="338"/>
      <c r="H172" s="339"/>
      <c r="I172" s="319">
        <f>SUM(G172:H172)</f>
        <v>0</v>
      </c>
      <c r="J172" s="312"/>
    </row>
    <row r="173" spans="2:11" s="308" customFormat="1" ht="15" hidden="1" customHeight="1">
      <c r="C173" s="324"/>
      <c r="D173" s="355" t="s">
        <v>215</v>
      </c>
      <c r="E173" s="355"/>
      <c r="F173" s="356"/>
      <c r="G173" s="338"/>
      <c r="H173" s="325"/>
      <c r="I173" s="319"/>
      <c r="J173" s="312"/>
    </row>
    <row r="174" spans="2:11" s="308" customFormat="1" ht="15" hidden="1" customHeight="1">
      <c r="C174" s="324"/>
      <c r="D174" s="340" t="s">
        <v>214</v>
      </c>
      <c r="E174" s="340"/>
      <c r="F174" s="375"/>
      <c r="G174" s="338"/>
      <c r="H174" s="339"/>
      <c r="I174" s="319">
        <f>SUM(G174:H174)</f>
        <v>0</v>
      </c>
      <c r="J174" s="312"/>
    </row>
    <row r="175" spans="2:11" s="308" customFormat="1" ht="15" hidden="1" customHeight="1">
      <c r="C175" s="324"/>
      <c r="D175" s="355" t="s">
        <v>216</v>
      </c>
      <c r="E175" s="355"/>
      <c r="F175" s="356"/>
      <c r="G175" s="338"/>
      <c r="H175" s="325"/>
      <c r="I175" s="319"/>
      <c r="J175" s="312"/>
    </row>
    <row r="176" spans="2:11" s="308" customFormat="1" ht="15" hidden="1" customHeight="1">
      <c r="C176" s="324"/>
      <c r="D176" s="340" t="s">
        <v>214</v>
      </c>
      <c r="E176" s="340"/>
      <c r="F176" s="375"/>
      <c r="G176" s="338"/>
      <c r="H176" s="339"/>
      <c r="I176" s="319">
        <f>SUM(G176:H176)</f>
        <v>0</v>
      </c>
      <c r="J176" s="312"/>
    </row>
    <row r="177" spans="3:10" s="293" customFormat="1" ht="15" hidden="1" customHeight="1">
      <c r="D177" s="355" t="s">
        <v>217</v>
      </c>
      <c r="E177" s="355"/>
      <c r="F177" s="356"/>
      <c r="H177" s="325"/>
      <c r="I177" s="297"/>
      <c r="J177" s="306"/>
    </row>
    <row r="178" spans="3:10" s="308" customFormat="1" ht="15" hidden="1" customHeight="1">
      <c r="C178" s="324"/>
      <c r="D178" s="340" t="s">
        <v>214</v>
      </c>
      <c r="E178" s="340"/>
      <c r="F178" s="375"/>
      <c r="G178" s="338"/>
      <c r="H178" s="339"/>
      <c r="I178" s="319">
        <f>SUM(G178:H178)</f>
        <v>0</v>
      </c>
      <c r="J178" s="312"/>
    </row>
    <row r="179" spans="3:10" s="308" customFormat="1" ht="15" hidden="1" customHeight="1">
      <c r="C179" s="324"/>
      <c r="D179" s="359" t="s">
        <v>218</v>
      </c>
      <c r="E179" s="359"/>
      <c r="F179" s="376"/>
      <c r="G179" s="338"/>
      <c r="H179" s="325"/>
      <c r="I179" s="319"/>
      <c r="J179" s="312"/>
    </row>
    <row r="180" spans="3:10" s="308" customFormat="1" ht="15" hidden="1" customHeight="1">
      <c r="C180" s="324"/>
      <c r="D180" s="340" t="s">
        <v>214</v>
      </c>
      <c r="E180" s="340"/>
      <c r="F180" s="375"/>
      <c r="G180" s="338"/>
      <c r="H180" s="339"/>
      <c r="I180" s="319">
        <f>SUM(G180:H180)</f>
        <v>0</v>
      </c>
      <c r="J180" s="312"/>
    </row>
    <row r="181" spans="3:10" s="308" customFormat="1" ht="15" hidden="1" customHeight="1">
      <c r="C181" s="324"/>
      <c r="D181" s="366" t="s">
        <v>205</v>
      </c>
      <c r="E181" s="366"/>
      <c r="F181" s="377"/>
      <c r="G181" s="338"/>
      <c r="H181" s="325"/>
      <c r="I181" s="319"/>
      <c r="J181" s="312"/>
    </row>
    <row r="182" spans="3:10" s="308" customFormat="1" ht="15" hidden="1" customHeight="1">
      <c r="C182" s="324"/>
      <c r="D182" s="340" t="s">
        <v>214</v>
      </c>
      <c r="E182" s="340"/>
      <c r="F182" s="375"/>
      <c r="G182" s="338"/>
      <c r="H182" s="339"/>
      <c r="I182" s="319">
        <f>SUM(G182:H182)</f>
        <v>0</v>
      </c>
      <c r="J182" s="312"/>
    </row>
    <row r="183" spans="3:10" s="308" customFormat="1" ht="15" hidden="1" customHeight="1">
      <c r="C183" s="324"/>
      <c r="D183" s="359" t="s">
        <v>206</v>
      </c>
      <c r="E183" s="359"/>
      <c r="F183" s="376"/>
      <c r="G183" s="338"/>
      <c r="H183" s="325"/>
      <c r="I183" s="319"/>
      <c r="J183" s="312"/>
    </row>
    <row r="184" spans="3:10" s="308" customFormat="1" ht="15" hidden="1" customHeight="1">
      <c r="C184" s="324"/>
      <c r="D184" s="340" t="s">
        <v>214</v>
      </c>
      <c r="E184" s="340"/>
      <c r="F184" s="375"/>
      <c r="G184" s="338"/>
      <c r="H184" s="339"/>
      <c r="I184" s="319">
        <f>SUM(G184:H184)</f>
        <v>0</v>
      </c>
      <c r="J184" s="312"/>
    </row>
    <row r="185" spans="3:10" s="308" customFormat="1" ht="15" hidden="1" customHeight="1">
      <c r="C185" s="324"/>
      <c r="D185" s="359" t="s">
        <v>207</v>
      </c>
      <c r="E185" s="359"/>
      <c r="F185" s="376"/>
      <c r="G185" s="338"/>
      <c r="H185" s="325"/>
      <c r="I185" s="319"/>
      <c r="J185" s="312"/>
    </row>
    <row r="186" spans="3:10" s="308" customFormat="1" ht="15" hidden="1" customHeight="1">
      <c r="C186" s="324"/>
      <c r="D186" s="340" t="s">
        <v>214</v>
      </c>
      <c r="E186" s="340"/>
      <c r="F186" s="375"/>
      <c r="G186" s="338"/>
      <c r="H186" s="339"/>
      <c r="I186" s="319">
        <f>SUM(G186:H186)</f>
        <v>0</v>
      </c>
      <c r="J186" s="312"/>
    </row>
    <row r="187" spans="3:10" s="308" customFormat="1" ht="15" hidden="1" customHeight="1">
      <c r="C187" s="324"/>
      <c r="D187" s="366" t="s">
        <v>219</v>
      </c>
      <c r="E187" s="366"/>
      <c r="F187" s="377"/>
      <c r="G187" s="338"/>
      <c r="H187" s="325"/>
      <c r="I187" s="319"/>
      <c r="J187" s="312"/>
    </row>
    <row r="188" spans="3:10" s="308" customFormat="1" ht="15" hidden="1" customHeight="1">
      <c r="C188" s="324"/>
      <c r="D188" s="309" t="s">
        <v>220</v>
      </c>
      <c r="E188" s="309"/>
      <c r="F188" s="310"/>
      <c r="G188" s="338"/>
      <c r="H188" s="339"/>
      <c r="I188" s="319">
        <f>SUM(G188:H188)</f>
        <v>0</v>
      </c>
      <c r="J188" s="312"/>
    </row>
    <row r="189" spans="3:10" s="308" customFormat="1" ht="15" hidden="1" customHeight="1">
      <c r="C189" s="324"/>
      <c r="D189" s="359" t="s">
        <v>190</v>
      </c>
      <c r="E189" s="359"/>
      <c r="F189" s="376"/>
      <c r="G189" s="338"/>
      <c r="H189" s="325"/>
      <c r="I189" s="319"/>
      <c r="J189" s="312"/>
    </row>
    <row r="190" spans="3:10" s="308" customFormat="1" ht="15" hidden="1" customHeight="1">
      <c r="C190" s="324"/>
      <c r="D190" s="340" t="s">
        <v>221</v>
      </c>
      <c r="E190" s="340"/>
      <c r="F190" s="375"/>
      <c r="G190" s="338"/>
      <c r="H190" s="339"/>
      <c r="I190" s="319">
        <f>SUM(G190:H190)</f>
        <v>0</v>
      </c>
      <c r="J190" s="312"/>
    </row>
    <row r="191" spans="3:10" s="308" customFormat="1" ht="15" hidden="1" customHeight="1">
      <c r="C191" s="324"/>
      <c r="D191" s="340"/>
      <c r="E191" s="340"/>
      <c r="F191" s="375"/>
      <c r="G191" s="338"/>
      <c r="H191" s="339"/>
      <c r="I191" s="319">
        <f>SUM(G191:H191)</f>
        <v>0</v>
      </c>
      <c r="J191" s="312"/>
    </row>
    <row r="192" spans="3:10" s="308" customFormat="1" ht="15" customHeight="1">
      <c r="C192" s="324"/>
      <c r="D192" s="355" t="s">
        <v>222</v>
      </c>
      <c r="E192" s="355"/>
      <c r="F192" s="356"/>
      <c r="G192" s="338"/>
      <c r="H192" s="325"/>
      <c r="I192" s="319"/>
      <c r="J192" s="312"/>
    </row>
    <row r="193" spans="2:11" s="308" customFormat="1" ht="14.25" customHeight="1">
      <c r="C193" s="324"/>
      <c r="D193" s="309" t="s">
        <v>223</v>
      </c>
      <c r="E193" s="309"/>
      <c r="F193" s="310"/>
      <c r="G193" s="338">
        <v>1200000</v>
      </c>
      <c r="H193" s="339"/>
      <c r="I193" s="319">
        <f>SUM(G193:H193)</f>
        <v>1200000</v>
      </c>
      <c r="J193" s="362"/>
    </row>
    <row r="194" spans="2:11" s="308" customFormat="1" ht="15" hidden="1" customHeight="1">
      <c r="C194" s="324"/>
      <c r="J194" s="312"/>
    </row>
    <row r="195" spans="2:11" s="308" customFormat="1" ht="15" hidden="1" customHeight="1">
      <c r="C195" s="324"/>
      <c r="D195" s="340"/>
      <c r="E195" s="340"/>
      <c r="F195" s="375"/>
      <c r="G195" s="338"/>
      <c r="H195" s="339"/>
      <c r="I195" s="319"/>
      <c r="J195" s="312"/>
    </row>
    <row r="196" spans="2:11" s="308" customFormat="1" ht="13.5" customHeight="1">
      <c r="C196" s="324"/>
      <c r="D196" s="366" t="s">
        <v>193</v>
      </c>
      <c r="E196" s="366"/>
      <c r="F196" s="377"/>
      <c r="G196" s="338"/>
      <c r="H196" s="325"/>
      <c r="I196" s="319"/>
      <c r="J196" s="312"/>
    </row>
    <row r="197" spans="2:11" s="308" customFormat="1" ht="18" customHeight="1">
      <c r="C197" s="324"/>
      <c r="D197" s="361" t="s">
        <v>224</v>
      </c>
      <c r="E197" s="361"/>
      <c r="F197" s="365"/>
      <c r="G197" s="338">
        <v>5895930</v>
      </c>
      <c r="H197" s="339"/>
      <c r="I197" s="319">
        <v>5793334</v>
      </c>
      <c r="J197" s="312">
        <v>5793334</v>
      </c>
    </row>
    <row r="198" spans="2:11" s="308" customFormat="1" ht="14.25" customHeight="1">
      <c r="C198" s="324"/>
      <c r="D198" s="309"/>
      <c r="E198" s="309"/>
      <c r="F198" s="310"/>
      <c r="G198" s="338"/>
      <c r="H198" s="325"/>
      <c r="I198" s="319"/>
      <c r="J198" s="312"/>
    </row>
    <row r="199" spans="2:11" s="308" customFormat="1" ht="15" customHeight="1">
      <c r="B199" s="368" t="s">
        <v>74</v>
      </c>
      <c r="C199" s="369" t="s">
        <v>225</v>
      </c>
      <c r="D199" s="309"/>
      <c r="E199" s="309"/>
      <c r="F199" s="327">
        <f>SUM(F171:F198)</f>
        <v>0</v>
      </c>
      <c r="G199" s="327">
        <f>SUM(G171:G198)</f>
        <v>7095930</v>
      </c>
      <c r="H199" s="328">
        <f>SUM(H171:H198)</f>
        <v>0</v>
      </c>
      <c r="I199" s="334">
        <f>SUM(I171:I198)</f>
        <v>6993334</v>
      </c>
      <c r="J199" s="334">
        <f>SUM(J171:J198)</f>
        <v>5793334</v>
      </c>
      <c r="K199" s="312">
        <f>SUM(G199:H199)</f>
        <v>7095930</v>
      </c>
    </row>
    <row r="200" spans="2:11" s="308" customFormat="1" ht="10.5" customHeight="1">
      <c r="D200" s="309"/>
      <c r="E200" s="309"/>
      <c r="F200" s="312"/>
      <c r="G200" s="312"/>
      <c r="H200" s="319"/>
      <c r="I200" s="319"/>
      <c r="J200" s="319"/>
    </row>
    <row r="201" spans="2:11" s="326" customFormat="1" ht="15.75" customHeight="1">
      <c r="B201" s="336" t="s">
        <v>75</v>
      </c>
      <c r="C201" s="326" t="s">
        <v>226</v>
      </c>
      <c r="D201" s="355"/>
      <c r="E201" s="355"/>
      <c r="F201" s="373"/>
      <c r="G201" s="373"/>
      <c r="H201" s="374"/>
      <c r="I201" s="374"/>
      <c r="J201" s="374"/>
    </row>
    <row r="202" spans="2:11" s="326" customFormat="1" ht="15.75" customHeight="1">
      <c r="B202" s="336"/>
      <c r="D202" s="355" t="s">
        <v>190</v>
      </c>
      <c r="E202" s="355"/>
      <c r="F202" s="373"/>
      <c r="G202" s="373"/>
      <c r="H202" s="374"/>
      <c r="I202" s="374"/>
      <c r="J202" s="374"/>
    </row>
    <row r="203" spans="2:11" s="326" customFormat="1" ht="15.75" customHeight="1">
      <c r="B203" s="336"/>
      <c r="D203" s="361" t="s">
        <v>227</v>
      </c>
      <c r="E203" s="355"/>
      <c r="F203" s="373"/>
      <c r="G203" s="373"/>
      <c r="H203" s="374"/>
      <c r="I203" s="319">
        <v>175260</v>
      </c>
      <c r="J203" s="319">
        <v>175260</v>
      </c>
    </row>
    <row r="204" spans="2:11" s="308" customFormat="1" ht="12" hidden="1" customHeight="1">
      <c r="B204" s="352"/>
      <c r="D204" s="309"/>
      <c r="E204" s="309"/>
      <c r="F204" s="312"/>
      <c r="G204" s="312"/>
      <c r="H204" s="319"/>
      <c r="I204" s="319"/>
      <c r="J204" s="319"/>
    </row>
    <row r="205" spans="2:11" s="308" customFormat="1" ht="15" hidden="1" customHeight="1">
      <c r="B205" s="352"/>
      <c r="C205" s="324"/>
      <c r="D205" s="355" t="s">
        <v>228</v>
      </c>
      <c r="E205" s="355"/>
      <c r="F205" s="312"/>
      <c r="G205" s="312"/>
      <c r="H205" s="325"/>
      <c r="I205" s="319"/>
      <c r="J205" s="319"/>
    </row>
    <row r="206" spans="2:11" s="308" customFormat="1" ht="15" hidden="1" customHeight="1">
      <c r="B206" s="352"/>
      <c r="C206" s="324"/>
      <c r="D206" s="361" t="s">
        <v>229</v>
      </c>
      <c r="E206" s="361"/>
      <c r="F206" s="312"/>
      <c r="G206" s="312"/>
      <c r="H206" s="339"/>
      <c r="I206" s="319">
        <f>SUM(G206:H206)</f>
        <v>0</v>
      </c>
      <c r="J206" s="319">
        <f>SUM(H206:I206)</f>
        <v>0</v>
      </c>
    </row>
    <row r="207" spans="2:11" s="308" customFormat="1" ht="15" hidden="1" customHeight="1">
      <c r="B207" s="352"/>
      <c r="C207" s="324"/>
      <c r="D207" s="340"/>
      <c r="E207" s="340"/>
      <c r="F207" s="312"/>
      <c r="G207" s="312"/>
      <c r="H207" s="325"/>
      <c r="I207" s="319">
        <f>SUM(G207:H207)</f>
        <v>0</v>
      </c>
      <c r="J207" s="319">
        <f>SUM(H207:I207)</f>
        <v>0</v>
      </c>
    </row>
    <row r="208" spans="2:11" s="308" customFormat="1" ht="9.75" customHeight="1">
      <c r="B208" s="378"/>
      <c r="D208" s="309"/>
      <c r="E208" s="309"/>
      <c r="F208" s="379"/>
      <c r="G208" s="379"/>
      <c r="H208" s="325"/>
      <c r="I208" s="319"/>
      <c r="J208" s="319"/>
    </row>
    <row r="209" spans="1:11" s="308" customFormat="1" ht="15" customHeight="1">
      <c r="B209" s="368" t="s">
        <v>75</v>
      </c>
      <c r="C209" s="370" t="s">
        <v>230</v>
      </c>
      <c r="D209" s="309"/>
      <c r="E209" s="309"/>
      <c r="F209" s="327">
        <f>SUM(F205:F208)</f>
        <v>0</v>
      </c>
      <c r="G209" s="327">
        <f>SUM(G205:G208)</f>
        <v>0</v>
      </c>
      <c r="H209" s="328">
        <f>SUM(H205:H208)</f>
        <v>0</v>
      </c>
      <c r="I209" s="334">
        <f>SUM(I203:I208)</f>
        <v>175260</v>
      </c>
      <c r="J209" s="334">
        <f>SUM(J203:J208)</f>
        <v>175260</v>
      </c>
      <c r="K209" s="312">
        <f>SUM(G209:H209)</f>
        <v>0</v>
      </c>
    </row>
    <row r="210" spans="1:11" s="308" customFormat="1" ht="14.25" customHeight="1">
      <c r="B210" s="333"/>
      <c r="C210" s="326"/>
      <c r="D210" s="340"/>
      <c r="E210" s="340"/>
      <c r="F210" s="330"/>
      <c r="G210" s="330"/>
      <c r="H210" s="332"/>
      <c r="I210" s="343"/>
      <c r="J210" s="343"/>
    </row>
    <row r="211" spans="1:11" s="308" customFormat="1" ht="14.25" hidden="1" customHeight="1">
      <c r="B211" s="333"/>
      <c r="C211" s="326"/>
      <c r="D211" s="340"/>
      <c r="E211" s="340"/>
      <c r="F211" s="330"/>
      <c r="G211" s="330"/>
      <c r="H211" s="332"/>
      <c r="I211" s="343"/>
      <c r="J211" s="343"/>
    </row>
    <row r="212" spans="1:11" s="308" customFormat="1" ht="15" hidden="1" customHeight="1">
      <c r="B212" s="368" t="s">
        <v>76</v>
      </c>
      <c r="C212" s="370" t="s">
        <v>209</v>
      </c>
      <c r="D212" s="309"/>
      <c r="E212" s="309"/>
      <c r="F212" s="371"/>
      <c r="G212" s="327"/>
      <c r="H212" s="341"/>
      <c r="I212" s="334">
        <f>SUM(G212:H212)</f>
        <v>0</v>
      </c>
      <c r="J212" s="327">
        <f>G212-F212</f>
        <v>0</v>
      </c>
      <c r="K212" s="312">
        <f>SUM(G212:H212)</f>
        <v>0</v>
      </c>
    </row>
    <row r="213" spans="1:11" s="308" customFormat="1" ht="14.25" customHeight="1">
      <c r="B213" s="333"/>
      <c r="C213" s="326"/>
      <c r="D213" s="340"/>
      <c r="E213" s="340"/>
      <c r="F213" s="330"/>
      <c r="G213" s="330"/>
      <c r="H213" s="332"/>
      <c r="I213" s="343"/>
      <c r="J213" s="343"/>
    </row>
    <row r="214" spans="1:11" s="308" customFormat="1" ht="15.75" customHeight="1">
      <c r="C214" s="344" t="s">
        <v>160</v>
      </c>
      <c r="D214" s="345"/>
      <c r="E214" s="345"/>
      <c r="F214" s="327">
        <f>SUM(F199+F209+F212)</f>
        <v>0</v>
      </c>
      <c r="G214" s="327">
        <f>SUM(G199+G209+G212)</f>
        <v>7095930</v>
      </c>
      <c r="H214" s="341">
        <f>SUM(H199+H209+H212)</f>
        <v>0</v>
      </c>
      <c r="I214" s="327">
        <f>SUM(I199+I209+I212)</f>
        <v>7168594</v>
      </c>
      <c r="J214" s="327">
        <f>SUM(J199+J209+J212)</f>
        <v>5968594</v>
      </c>
    </row>
    <row r="215" spans="1:11" s="308" customFormat="1" ht="9.75" customHeight="1">
      <c r="B215" s="380"/>
      <c r="C215" s="381"/>
      <c r="D215" s="382"/>
      <c r="E215" s="382"/>
      <c r="F215" s="383"/>
      <c r="G215" s="383"/>
      <c r="H215" s="332"/>
      <c r="I215" s="332"/>
      <c r="J215" s="332"/>
      <c r="K215" s="384"/>
    </row>
    <row r="216" spans="1:11" s="293" customFormat="1" ht="17.25" customHeight="1">
      <c r="A216" s="326" t="s">
        <v>231</v>
      </c>
      <c r="B216" s="308"/>
      <c r="C216" s="308"/>
      <c r="D216" s="309"/>
      <c r="E216" s="309"/>
      <c r="F216" s="327">
        <f>SUM(F164+F214)</f>
        <v>1025377451</v>
      </c>
      <c r="G216" s="327">
        <f>SUM(G164+G214)</f>
        <v>1073214161</v>
      </c>
      <c r="H216" s="328">
        <f>SUM(H164+H214)</f>
        <v>-1580179</v>
      </c>
      <c r="I216" s="334">
        <f>SUM(I164+I214)</f>
        <v>1149443969</v>
      </c>
      <c r="J216" s="334">
        <f>SUM(J164+J214)</f>
        <v>1148243969</v>
      </c>
    </row>
    <row r="217" spans="1:11" s="293" customFormat="1" ht="11.25" customHeight="1">
      <c r="A217" s="326"/>
      <c r="B217" s="308"/>
      <c r="C217" s="308"/>
      <c r="D217" s="309"/>
      <c r="E217" s="309"/>
      <c r="F217" s="310"/>
      <c r="G217" s="330"/>
      <c r="H217" s="332"/>
      <c r="I217" s="343"/>
      <c r="J217" s="306"/>
    </row>
    <row r="218" spans="1:11" s="293" customFormat="1" ht="15" customHeight="1">
      <c r="A218" s="326"/>
      <c r="B218" s="308"/>
      <c r="C218" s="308"/>
      <c r="D218" s="309"/>
      <c r="E218" s="309"/>
      <c r="F218" s="310"/>
      <c r="G218" s="330"/>
      <c r="H218" s="332"/>
      <c r="I218" s="343"/>
      <c r="J218" s="306"/>
    </row>
    <row r="219" spans="1:11" s="308" customFormat="1" ht="15" customHeight="1">
      <c r="A219" s="307" t="s">
        <v>232</v>
      </c>
      <c r="D219" s="309"/>
      <c r="E219" s="309"/>
      <c r="F219" s="310"/>
      <c r="G219" s="304"/>
      <c r="H219" s="311"/>
      <c r="I219" s="311"/>
      <c r="J219" s="312"/>
    </row>
    <row r="220" spans="1:11" s="308" customFormat="1" ht="9" customHeight="1">
      <c r="A220" s="307"/>
      <c r="D220" s="309"/>
      <c r="E220" s="309"/>
      <c r="F220" s="310"/>
      <c r="G220" s="304"/>
      <c r="H220" s="311"/>
      <c r="I220" s="311"/>
      <c r="J220" s="312"/>
    </row>
    <row r="221" spans="1:11" s="308" customFormat="1" ht="15">
      <c r="B221" s="313" t="s">
        <v>143</v>
      </c>
      <c r="C221" s="314"/>
      <c r="D221" s="309"/>
      <c r="E221" s="309"/>
      <c r="F221" s="310"/>
      <c r="G221" s="315"/>
      <c r="H221" s="316"/>
      <c r="I221" s="316"/>
      <c r="J221" s="312"/>
    </row>
    <row r="222" spans="1:11" s="308" customFormat="1" ht="8.25" customHeight="1">
      <c r="B222" s="313"/>
      <c r="C222" s="314"/>
      <c r="D222" s="309"/>
      <c r="E222" s="309"/>
      <c r="F222" s="310"/>
      <c r="G222" s="315"/>
      <c r="H222" s="316"/>
      <c r="I222" s="316"/>
      <c r="J222" s="312"/>
    </row>
    <row r="223" spans="1:11" s="308" customFormat="1" ht="15" hidden="1">
      <c r="B223" s="308" t="s">
        <v>74</v>
      </c>
      <c r="D223" s="309"/>
      <c r="E223" s="309"/>
      <c r="F223" s="310"/>
      <c r="G223" s="312"/>
      <c r="H223" s="319"/>
      <c r="I223" s="319"/>
      <c r="J223" s="312"/>
    </row>
    <row r="224" spans="1:11" s="308" customFormat="1" ht="15.75" hidden="1" customHeight="1">
      <c r="B224" s="322"/>
      <c r="C224" s="323"/>
      <c r="D224" s="309"/>
      <c r="E224" s="309"/>
      <c r="F224" s="310"/>
      <c r="G224" s="312"/>
      <c r="H224" s="319"/>
      <c r="I224" s="319"/>
      <c r="J224" s="312"/>
    </row>
    <row r="225" spans="2:10" s="308" customFormat="1" ht="15" hidden="1">
      <c r="B225" s="322"/>
      <c r="C225" s="323"/>
      <c r="D225" s="309"/>
      <c r="E225" s="309"/>
      <c r="F225" s="310"/>
      <c r="G225" s="338"/>
      <c r="H225" s="339"/>
      <c r="I225" s="319"/>
      <c r="J225" s="312"/>
    </row>
    <row r="226" spans="2:10" s="308" customFormat="1" ht="15" hidden="1">
      <c r="D226" s="309"/>
      <c r="E226" s="309"/>
      <c r="F226" s="310"/>
      <c r="G226" s="338"/>
      <c r="H226" s="339"/>
      <c r="I226" s="319"/>
      <c r="J226" s="312"/>
    </row>
    <row r="227" spans="2:10" s="308" customFormat="1" ht="15" hidden="1">
      <c r="C227" s="324"/>
      <c r="D227" s="309"/>
      <c r="E227" s="309"/>
      <c r="F227" s="310"/>
      <c r="G227" s="338"/>
      <c r="H227" s="325"/>
      <c r="I227" s="319"/>
      <c r="J227" s="312"/>
    </row>
    <row r="228" spans="2:10" s="308" customFormat="1" ht="15" hidden="1">
      <c r="C228" s="326"/>
      <c r="D228" s="309"/>
      <c r="E228" s="309"/>
      <c r="F228" s="310"/>
      <c r="G228" s="327"/>
      <c r="H228" s="328"/>
      <c r="I228" s="334"/>
      <c r="J228" s="312"/>
    </row>
    <row r="229" spans="2:10" s="308" customFormat="1" ht="15" hidden="1">
      <c r="B229" s="333"/>
      <c r="C229" s="318"/>
      <c r="D229" s="309"/>
      <c r="E229" s="309"/>
      <c r="F229" s="310"/>
      <c r="G229" s="330"/>
      <c r="H229" s="332"/>
      <c r="I229" s="343"/>
      <c r="J229" s="312"/>
    </row>
    <row r="230" spans="2:10" s="308" customFormat="1" ht="15" hidden="1">
      <c r="B230" s="333"/>
      <c r="C230" s="318"/>
      <c r="D230" s="309"/>
      <c r="E230" s="309"/>
      <c r="F230" s="310"/>
      <c r="G230" s="330"/>
      <c r="H230" s="332"/>
      <c r="I230" s="343"/>
      <c r="J230" s="312"/>
    </row>
    <row r="231" spans="2:10" s="308" customFormat="1" ht="9.75" hidden="1" customHeight="1">
      <c r="B231" s="313"/>
      <c r="C231" s="314"/>
      <c r="D231" s="309"/>
      <c r="E231" s="309"/>
      <c r="F231" s="310"/>
      <c r="G231" s="315"/>
      <c r="H231" s="316"/>
      <c r="I231" s="316"/>
      <c r="J231" s="312"/>
    </row>
    <row r="232" spans="2:10" s="308" customFormat="1" ht="15" customHeight="1">
      <c r="B232" s="317" t="s">
        <v>74</v>
      </c>
      <c r="C232" s="318" t="s">
        <v>144</v>
      </c>
      <c r="D232" s="309"/>
      <c r="E232" s="309"/>
      <c r="F232" s="310"/>
      <c r="G232" s="312"/>
      <c r="H232" s="319"/>
      <c r="I232" s="319"/>
      <c r="J232" s="312"/>
    </row>
    <row r="233" spans="2:10" s="308" customFormat="1" ht="10.5" customHeight="1">
      <c r="B233" s="322"/>
      <c r="C233" s="323"/>
      <c r="D233" s="309"/>
      <c r="E233" s="309"/>
      <c r="F233" s="310"/>
      <c r="G233" s="312"/>
      <c r="H233" s="319"/>
      <c r="I233" s="319"/>
      <c r="J233" s="312"/>
    </row>
    <row r="234" spans="2:10" s="308" customFormat="1" ht="15" hidden="1">
      <c r="B234" s="322"/>
      <c r="C234" s="323"/>
      <c r="D234" s="385" t="s">
        <v>233</v>
      </c>
      <c r="E234" s="385"/>
      <c r="F234" s="386"/>
      <c r="G234" s="338">
        <v>0</v>
      </c>
      <c r="H234" s="339"/>
      <c r="I234" s="319"/>
      <c r="J234" s="312"/>
    </row>
    <row r="235" spans="2:10" s="308" customFormat="1" ht="15" hidden="1">
      <c r="B235" s="322"/>
      <c r="C235" s="323"/>
      <c r="D235" s="385" t="s">
        <v>234</v>
      </c>
      <c r="E235" s="385"/>
      <c r="F235" s="386"/>
      <c r="G235" s="338">
        <v>0</v>
      </c>
      <c r="H235" s="339"/>
      <c r="I235" s="319"/>
      <c r="J235" s="312"/>
    </row>
    <row r="236" spans="2:10" s="308" customFormat="1" ht="15.75" customHeight="1">
      <c r="B236" s="322"/>
      <c r="C236" s="323"/>
      <c r="D236" s="385" t="s">
        <v>235</v>
      </c>
      <c r="E236" s="385"/>
      <c r="F236" s="386">
        <v>7037000</v>
      </c>
      <c r="G236" s="386">
        <v>7037000</v>
      </c>
      <c r="H236" s="339"/>
      <c r="I236" s="319">
        <v>13179940</v>
      </c>
      <c r="J236" s="312">
        <f>3518748+3518748+4165656+4165656-2188868</f>
        <v>13179940</v>
      </c>
    </row>
    <row r="237" spans="2:10" s="308" customFormat="1" ht="15.75" customHeight="1">
      <c r="C237" s="324"/>
      <c r="D237" s="385" t="s">
        <v>236</v>
      </c>
      <c r="E237" s="385"/>
      <c r="F237" s="386">
        <v>6720000</v>
      </c>
      <c r="G237" s="386">
        <v>6720000</v>
      </c>
      <c r="H237" s="339"/>
      <c r="I237" s="319">
        <f t="shared" ref="I237:I246" si="4">SUM(G237:H237)</f>
        <v>6720000</v>
      </c>
      <c r="J237" s="312">
        <f>1625000+1625000+1625000+1625000</f>
        <v>6500000</v>
      </c>
    </row>
    <row r="238" spans="2:10" s="308" customFormat="1" ht="15.75" customHeight="1">
      <c r="C238" s="324"/>
      <c r="D238" s="320" t="s">
        <v>237</v>
      </c>
      <c r="E238" s="320"/>
      <c r="F238" s="386">
        <v>11672000</v>
      </c>
      <c r="G238" s="386">
        <v>11672000</v>
      </c>
      <c r="H238" s="339"/>
      <c r="I238" s="319">
        <f t="shared" si="4"/>
        <v>11672000</v>
      </c>
      <c r="J238" s="312">
        <f>10354837+1316837</f>
        <v>11671674</v>
      </c>
    </row>
    <row r="239" spans="2:10" s="308" customFormat="1" ht="15.75" customHeight="1">
      <c r="C239" s="324"/>
      <c r="D239" s="320" t="s">
        <v>238</v>
      </c>
      <c r="E239" s="320"/>
      <c r="F239" s="386">
        <v>3240000</v>
      </c>
      <c r="G239" s="321">
        <v>3240000</v>
      </c>
      <c r="H239" s="339"/>
      <c r="I239" s="319">
        <f t="shared" si="4"/>
        <v>3240000</v>
      </c>
      <c r="J239" s="312">
        <f>810000+810000+810000+810000</f>
        <v>3240000</v>
      </c>
    </row>
    <row r="240" spans="2:10" s="308" customFormat="1" ht="15.75" hidden="1" customHeight="1">
      <c r="C240" s="324"/>
      <c r="D240" s="320" t="s">
        <v>239</v>
      </c>
      <c r="E240" s="320"/>
      <c r="F240" s="386"/>
      <c r="G240" s="321"/>
      <c r="H240" s="339"/>
      <c r="I240" s="319">
        <f t="shared" si="4"/>
        <v>0</v>
      </c>
      <c r="J240" s="312"/>
    </row>
    <row r="241" spans="3:10" s="308" customFormat="1" ht="15.75" customHeight="1">
      <c r="C241" s="324"/>
      <c r="D241" s="320" t="s">
        <v>240</v>
      </c>
      <c r="E241" s="320"/>
      <c r="F241" s="386"/>
      <c r="G241" s="321">
        <v>0</v>
      </c>
      <c r="H241" s="339">
        <v>5671681</v>
      </c>
      <c r="I241" s="319">
        <f t="shared" si="4"/>
        <v>5671681</v>
      </c>
      <c r="J241" s="312">
        <v>5671681</v>
      </c>
    </row>
    <row r="242" spans="3:10" s="308" customFormat="1" ht="15.75" hidden="1" customHeight="1">
      <c r="C242" s="324"/>
      <c r="D242" s="320" t="s">
        <v>241</v>
      </c>
      <c r="E242" s="320"/>
      <c r="F242" s="386"/>
      <c r="G242" s="387">
        <v>0</v>
      </c>
      <c r="H242" s="388"/>
      <c r="I242" s="389">
        <f t="shared" si="4"/>
        <v>0</v>
      </c>
      <c r="J242" s="312"/>
    </row>
    <row r="243" spans="3:10" s="308" customFormat="1" ht="15.75" customHeight="1">
      <c r="C243" s="324"/>
      <c r="D243" s="320" t="s">
        <v>242</v>
      </c>
      <c r="E243" s="320"/>
      <c r="F243" s="386">
        <v>62335000</v>
      </c>
      <c r="G243" s="386">
        <v>62335000</v>
      </c>
      <c r="H243" s="339">
        <v>-1083334</v>
      </c>
      <c r="I243" s="319">
        <f t="shared" si="4"/>
        <v>61251666</v>
      </c>
      <c r="J243" s="312">
        <v>61251666</v>
      </c>
    </row>
    <row r="244" spans="3:10" s="308" customFormat="1" ht="15.75" hidden="1" customHeight="1">
      <c r="C244" s="324"/>
      <c r="D244" s="347" t="s">
        <v>243</v>
      </c>
      <c r="E244" s="347"/>
      <c r="F244" s="386"/>
      <c r="G244" s="386">
        <v>0</v>
      </c>
      <c r="H244" s="339"/>
      <c r="I244" s="319">
        <f t="shared" si="4"/>
        <v>0</v>
      </c>
      <c r="J244" s="312"/>
    </row>
    <row r="245" spans="3:10" s="308" customFormat="1" ht="15" hidden="1" customHeight="1">
      <c r="C245" s="324"/>
      <c r="D245" s="347" t="s">
        <v>244</v>
      </c>
      <c r="E245" s="347"/>
      <c r="F245" s="386"/>
      <c r="G245" s="386">
        <v>0</v>
      </c>
      <c r="H245" s="339"/>
      <c r="I245" s="319">
        <f t="shared" si="4"/>
        <v>0</v>
      </c>
      <c r="J245" s="312"/>
    </row>
    <row r="246" spans="3:10" s="308" customFormat="1" ht="15" customHeight="1">
      <c r="C246" s="324"/>
      <c r="D246" s="347" t="s">
        <v>245</v>
      </c>
      <c r="E246" s="320"/>
      <c r="F246" s="390">
        <v>33367000</v>
      </c>
      <c r="G246" s="386">
        <v>33367000</v>
      </c>
      <c r="H246" s="339">
        <v>-33367000</v>
      </c>
      <c r="I246" s="319">
        <f t="shared" si="4"/>
        <v>0</v>
      </c>
      <c r="J246" s="312"/>
    </row>
    <row r="247" spans="3:10" s="308" customFormat="1" ht="15" hidden="1" customHeight="1">
      <c r="C247" s="324"/>
      <c r="D247" s="309"/>
      <c r="E247" s="309"/>
      <c r="F247" s="310"/>
      <c r="G247" s="386"/>
      <c r="H247" s="339"/>
      <c r="I247" s="319"/>
      <c r="J247" s="312"/>
    </row>
    <row r="248" spans="3:10" s="308" customFormat="1" ht="15" hidden="1" customHeight="1">
      <c r="C248" s="324"/>
      <c r="D248" s="347"/>
      <c r="E248" s="347"/>
      <c r="F248" s="348"/>
      <c r="G248" s="386"/>
      <c r="H248" s="339"/>
      <c r="I248" s="319"/>
      <c r="J248" s="312"/>
    </row>
    <row r="249" spans="3:10" s="308" customFormat="1" ht="15" hidden="1" customHeight="1">
      <c r="C249" s="324"/>
      <c r="D249" s="347"/>
      <c r="E249" s="347"/>
      <c r="F249" s="348"/>
      <c r="G249" s="386"/>
      <c r="H249" s="339"/>
      <c r="I249" s="319"/>
      <c r="J249" s="312"/>
    </row>
    <row r="250" spans="3:10" s="308" customFormat="1" ht="15" hidden="1" customHeight="1">
      <c r="C250" s="324"/>
      <c r="D250" s="309"/>
      <c r="E250" s="309"/>
      <c r="F250" s="310"/>
      <c r="G250" s="386"/>
      <c r="H250" s="339"/>
      <c r="I250" s="319"/>
      <c r="J250" s="312"/>
    </row>
    <row r="251" spans="3:10" s="308" customFormat="1" ht="15" hidden="1" customHeight="1">
      <c r="C251" s="324"/>
      <c r="D251" s="349"/>
      <c r="E251" s="349"/>
      <c r="F251" s="391"/>
      <c r="G251" s="392"/>
      <c r="H251" s="339"/>
      <c r="I251" s="319"/>
      <c r="J251" s="312"/>
    </row>
    <row r="252" spans="3:10" s="308" customFormat="1" ht="15" hidden="1" customHeight="1">
      <c r="C252" s="324"/>
      <c r="D252" s="349"/>
      <c r="E252" s="349"/>
      <c r="F252" s="391"/>
      <c r="G252" s="392"/>
      <c r="H252" s="339"/>
      <c r="I252" s="319"/>
      <c r="J252" s="312"/>
    </row>
    <row r="253" spans="3:10" s="308" customFormat="1" ht="15" hidden="1" customHeight="1">
      <c r="C253" s="324"/>
      <c r="D253" s="349"/>
      <c r="E253" s="349"/>
      <c r="F253" s="391"/>
      <c r="G253" s="392"/>
      <c r="H253" s="339"/>
      <c r="I253" s="319"/>
      <c r="J253" s="312"/>
    </row>
    <row r="254" spans="3:10" s="308" customFormat="1" ht="15" hidden="1" customHeight="1">
      <c r="C254" s="324"/>
      <c r="D254" s="320"/>
      <c r="E254" s="320"/>
      <c r="F254" s="390"/>
      <c r="G254" s="392"/>
      <c r="H254" s="339"/>
      <c r="I254" s="319"/>
      <c r="J254" s="312"/>
    </row>
    <row r="255" spans="3:10" s="308" customFormat="1" ht="15" hidden="1" customHeight="1">
      <c r="C255" s="324"/>
      <c r="D255" s="320"/>
      <c r="E255" s="320"/>
      <c r="F255" s="390"/>
      <c r="G255" s="392"/>
      <c r="H255" s="339"/>
      <c r="I255" s="319"/>
      <c r="J255" s="312"/>
    </row>
    <row r="256" spans="3:10" s="308" customFormat="1" ht="15" hidden="1" customHeight="1">
      <c r="C256" s="324"/>
      <c r="D256" s="309"/>
      <c r="E256" s="309"/>
      <c r="F256" s="310"/>
      <c r="G256" s="392"/>
      <c r="H256" s="339"/>
      <c r="I256" s="319"/>
      <c r="J256" s="312"/>
    </row>
    <row r="257" spans="3:10" s="308" customFormat="1" ht="15" hidden="1" customHeight="1">
      <c r="C257" s="324"/>
      <c r="D257" s="349"/>
      <c r="E257" s="349"/>
      <c r="F257" s="391"/>
      <c r="G257" s="392"/>
      <c r="H257" s="339"/>
      <c r="I257" s="319"/>
      <c r="J257" s="312"/>
    </row>
    <row r="258" spans="3:10" s="308" customFormat="1" ht="15" hidden="1">
      <c r="C258" s="324"/>
      <c r="D258" s="320"/>
      <c r="E258" s="320"/>
      <c r="F258" s="390"/>
      <c r="G258" s="386"/>
      <c r="H258" s="339"/>
      <c r="I258" s="319"/>
      <c r="J258" s="312"/>
    </row>
    <row r="259" spans="3:10" s="308" customFormat="1" ht="15" hidden="1">
      <c r="C259" s="324"/>
      <c r="D259" s="385"/>
      <c r="E259" s="385"/>
      <c r="F259" s="393"/>
      <c r="G259" s="392"/>
      <c r="H259" s="339"/>
      <c r="I259" s="319"/>
      <c r="J259" s="312"/>
    </row>
    <row r="260" spans="3:10" s="308" customFormat="1" ht="15" hidden="1">
      <c r="C260" s="324"/>
      <c r="D260" s="385"/>
      <c r="E260" s="385"/>
      <c r="F260" s="393"/>
      <c r="G260" s="392"/>
      <c r="H260" s="339"/>
      <c r="I260" s="319"/>
      <c r="J260" s="312"/>
    </row>
    <row r="261" spans="3:10" s="308" customFormat="1" ht="15" hidden="1">
      <c r="C261" s="324"/>
      <c r="D261" s="385"/>
      <c r="E261" s="385"/>
      <c r="F261" s="393"/>
      <c r="G261" s="392"/>
      <c r="H261" s="339"/>
      <c r="I261" s="319"/>
      <c r="J261" s="312"/>
    </row>
    <row r="262" spans="3:10" s="308" customFormat="1" ht="15" hidden="1">
      <c r="C262" s="324"/>
      <c r="D262" s="385"/>
      <c r="E262" s="385"/>
      <c r="F262" s="393"/>
      <c r="G262" s="392"/>
      <c r="H262" s="339"/>
      <c r="I262" s="319"/>
      <c r="J262" s="312"/>
    </row>
    <row r="263" spans="3:10" s="308" customFormat="1" ht="15" hidden="1">
      <c r="C263" s="324"/>
      <c r="D263" s="385"/>
      <c r="E263" s="385"/>
      <c r="F263" s="393"/>
      <c r="G263" s="392"/>
      <c r="H263" s="339"/>
      <c r="I263" s="319"/>
      <c r="J263" s="312"/>
    </row>
    <row r="264" spans="3:10" s="308" customFormat="1" ht="15" hidden="1">
      <c r="C264" s="324"/>
      <c r="D264" s="385"/>
      <c r="E264" s="385"/>
      <c r="F264" s="393"/>
      <c r="G264" s="392"/>
      <c r="H264" s="339"/>
      <c r="I264" s="319"/>
      <c r="J264" s="312"/>
    </row>
    <row r="265" spans="3:10" s="308" customFormat="1" ht="15" hidden="1">
      <c r="C265" s="324"/>
      <c r="D265" s="337"/>
      <c r="E265" s="337"/>
      <c r="F265" s="394"/>
      <c r="G265" s="392"/>
      <c r="H265" s="339"/>
      <c r="I265" s="319"/>
      <c r="J265" s="312"/>
    </row>
    <row r="266" spans="3:10" s="308" customFormat="1" ht="15" hidden="1">
      <c r="C266" s="324"/>
      <c r="D266" s="337"/>
      <c r="E266" s="337"/>
      <c r="F266" s="394"/>
      <c r="G266" s="392"/>
      <c r="H266" s="339"/>
      <c r="I266" s="319"/>
      <c r="J266" s="312"/>
    </row>
    <row r="267" spans="3:10" s="308" customFormat="1" ht="15" hidden="1">
      <c r="C267" s="324"/>
      <c r="D267" s="385"/>
      <c r="E267" s="385"/>
      <c r="F267" s="393"/>
      <c r="G267" s="392"/>
      <c r="H267" s="339"/>
      <c r="I267" s="319"/>
      <c r="J267" s="312"/>
    </row>
    <row r="268" spans="3:10" s="308" customFormat="1" ht="15" hidden="1">
      <c r="C268" s="324"/>
      <c r="D268" s="385"/>
      <c r="E268" s="385"/>
      <c r="F268" s="393"/>
      <c r="G268" s="392"/>
      <c r="H268" s="339"/>
      <c r="I268" s="319"/>
      <c r="J268" s="312"/>
    </row>
    <row r="269" spans="3:10" s="308" customFormat="1" ht="15" hidden="1" customHeight="1">
      <c r="C269" s="324"/>
      <c r="D269" s="320"/>
      <c r="E269" s="320"/>
      <c r="F269" s="390"/>
      <c r="G269" s="392"/>
      <c r="H269" s="339"/>
      <c r="I269" s="319"/>
      <c r="J269" s="312"/>
    </row>
    <row r="270" spans="3:10" s="308" customFormat="1" ht="15" hidden="1" customHeight="1">
      <c r="C270" s="324"/>
      <c r="D270" s="309"/>
      <c r="E270" s="309"/>
      <c r="F270" s="310"/>
      <c r="G270" s="392"/>
      <c r="H270" s="339"/>
      <c r="I270" s="319"/>
      <c r="J270" s="312"/>
    </row>
    <row r="271" spans="3:10" s="308" customFormat="1" ht="15" hidden="1" customHeight="1">
      <c r="C271" s="324"/>
      <c r="D271" s="309"/>
      <c r="E271" s="309"/>
      <c r="F271" s="310"/>
      <c r="G271" s="392"/>
      <c r="H271" s="339"/>
      <c r="I271" s="319"/>
      <c r="J271" s="312"/>
    </row>
    <row r="272" spans="3:10" s="308" customFormat="1" ht="15" hidden="1" customHeight="1">
      <c r="C272" s="324"/>
      <c r="D272" s="309"/>
      <c r="E272" s="309"/>
      <c r="F272" s="310"/>
      <c r="G272" s="392"/>
      <c r="H272" s="339"/>
      <c r="I272" s="319"/>
      <c r="J272" s="312"/>
    </row>
    <row r="273" spans="2:11" s="308" customFormat="1" ht="15" hidden="1">
      <c r="C273" s="324"/>
      <c r="D273" s="309"/>
      <c r="E273" s="309"/>
      <c r="F273" s="310"/>
      <c r="G273" s="392"/>
      <c r="H273" s="339"/>
      <c r="I273" s="319"/>
      <c r="J273" s="312"/>
    </row>
    <row r="274" spans="2:11" s="308" customFormat="1" ht="15" hidden="1">
      <c r="C274" s="324"/>
      <c r="D274" s="309"/>
      <c r="E274" s="309"/>
      <c r="F274" s="310"/>
      <c r="G274" s="392"/>
      <c r="H274" s="339"/>
      <c r="I274" s="319"/>
      <c r="J274" s="312"/>
    </row>
    <row r="275" spans="2:11" s="308" customFormat="1" ht="15" hidden="1">
      <c r="C275" s="324"/>
      <c r="D275" s="309"/>
      <c r="E275" s="309"/>
      <c r="F275" s="310"/>
      <c r="G275" s="392"/>
      <c r="H275" s="339"/>
      <c r="I275" s="319"/>
      <c r="J275" s="312"/>
    </row>
    <row r="276" spans="2:11" s="308" customFormat="1" ht="15" hidden="1">
      <c r="C276" s="324"/>
      <c r="D276" s="309"/>
      <c r="E276" s="309"/>
      <c r="F276" s="310"/>
      <c r="G276" s="392"/>
      <c r="H276" s="339"/>
      <c r="I276" s="319"/>
      <c r="J276" s="312"/>
    </row>
    <row r="277" spans="2:11" s="308" customFormat="1" ht="15" hidden="1">
      <c r="C277" s="324"/>
      <c r="D277" s="309"/>
      <c r="E277" s="309"/>
      <c r="F277" s="310"/>
      <c r="G277" s="392"/>
      <c r="H277" s="339"/>
      <c r="I277" s="319"/>
      <c r="J277" s="312"/>
    </row>
    <row r="278" spans="2:11" s="308" customFormat="1" ht="15" hidden="1">
      <c r="C278" s="324"/>
      <c r="D278" s="309"/>
      <c r="E278" s="309"/>
      <c r="F278" s="310"/>
      <c r="G278" s="392"/>
      <c r="H278" s="339"/>
      <c r="I278" s="319"/>
      <c r="J278" s="312"/>
    </row>
    <row r="279" spans="2:11" s="308" customFormat="1" ht="15" hidden="1">
      <c r="C279" s="324"/>
      <c r="D279" s="309"/>
      <c r="E279" s="309"/>
      <c r="F279" s="310"/>
      <c r="G279" s="392"/>
      <c r="H279" s="339"/>
      <c r="I279" s="319"/>
      <c r="J279" s="312"/>
    </row>
    <row r="280" spans="2:11" s="308" customFormat="1" ht="15" hidden="1">
      <c r="C280" s="324"/>
      <c r="D280" s="309"/>
      <c r="E280" s="309"/>
      <c r="F280" s="310"/>
      <c r="G280" s="392"/>
      <c r="H280" s="339"/>
      <c r="I280" s="319"/>
      <c r="J280" s="312"/>
    </row>
    <row r="281" spans="2:11" s="308" customFormat="1" ht="9.75" customHeight="1">
      <c r="C281" s="324"/>
      <c r="D281" s="309"/>
      <c r="E281" s="309"/>
      <c r="F281" s="310"/>
      <c r="G281" s="392"/>
      <c r="H281" s="325"/>
      <c r="I281" s="319"/>
      <c r="J281" s="312"/>
    </row>
    <row r="282" spans="2:11" s="308" customFormat="1" ht="13.5" customHeight="1">
      <c r="B282" s="370" t="s">
        <v>74</v>
      </c>
      <c r="C282" s="369" t="s">
        <v>147</v>
      </c>
      <c r="D282" s="309"/>
      <c r="E282" s="309"/>
      <c r="F282" s="395">
        <f>SUM(F234:F281)</f>
        <v>124371000</v>
      </c>
      <c r="G282" s="395">
        <f>SUM(G234:G281)</f>
        <v>124371000</v>
      </c>
      <c r="H282" s="341">
        <f>SUM(H234:H281)</f>
        <v>-28778653</v>
      </c>
      <c r="I282" s="395">
        <f>SUM(I234:I281)</f>
        <v>101735287</v>
      </c>
      <c r="J282" s="395">
        <f>SUM(J234:J281)</f>
        <v>101514961</v>
      </c>
      <c r="K282" s="312">
        <f>SUM(G282:H282)</f>
        <v>95592347</v>
      </c>
    </row>
    <row r="283" spans="2:11" s="308" customFormat="1" ht="9" customHeight="1">
      <c r="D283" s="309"/>
      <c r="E283" s="309"/>
      <c r="F283" s="392"/>
      <c r="G283" s="392"/>
      <c r="H283" s="319"/>
      <c r="I283" s="319"/>
      <c r="J283" s="312"/>
    </row>
    <row r="284" spans="2:11" s="308" customFormat="1" ht="15.75" customHeight="1">
      <c r="B284" s="333"/>
      <c r="C284" s="326" t="s">
        <v>246</v>
      </c>
      <c r="D284" s="309"/>
      <c r="E284" s="309"/>
      <c r="F284" s="395">
        <f>SUM(F228+F282)</f>
        <v>124371000</v>
      </c>
      <c r="G284" s="395">
        <f>SUM(G228+G282)</f>
        <v>124371000</v>
      </c>
      <c r="H284" s="328">
        <f>SUM(H228+H282)</f>
        <v>-28778653</v>
      </c>
      <c r="I284" s="334">
        <f>SUM(I228+I282)</f>
        <v>101735287</v>
      </c>
      <c r="J284" s="395">
        <f>SUM(J228+J282)</f>
        <v>101514961</v>
      </c>
      <c r="K284" s="312"/>
    </row>
    <row r="285" spans="2:11" s="308" customFormat="1" ht="9.75" customHeight="1">
      <c r="D285" s="335"/>
      <c r="E285" s="335"/>
      <c r="F285" s="392"/>
      <c r="G285" s="392"/>
      <c r="H285" s="319"/>
      <c r="I285" s="319"/>
      <c r="J285" s="312"/>
    </row>
    <row r="286" spans="2:11" s="308" customFormat="1" ht="15" customHeight="1">
      <c r="B286" s="336" t="s">
        <v>75</v>
      </c>
      <c r="C286" s="326" t="s">
        <v>152</v>
      </c>
      <c r="D286" s="309"/>
      <c r="E286" s="309"/>
      <c r="F286" s="392"/>
      <c r="G286" s="392"/>
      <c r="H286" s="319"/>
      <c r="I286" s="319"/>
      <c r="J286" s="312"/>
    </row>
    <row r="287" spans="2:11" s="308" customFormat="1" ht="15" customHeight="1">
      <c r="C287" s="324"/>
      <c r="D287" s="320" t="s">
        <v>247</v>
      </c>
      <c r="E287" s="320"/>
      <c r="F287" s="386"/>
      <c r="G287" s="386"/>
      <c r="H287" s="339"/>
      <c r="I287" s="319">
        <v>1000000</v>
      </c>
      <c r="J287" s="312">
        <v>1000000</v>
      </c>
    </row>
    <row r="288" spans="2:11" s="308" customFormat="1" ht="15" customHeight="1">
      <c r="C288" s="324"/>
      <c r="D288" s="320" t="s">
        <v>248</v>
      </c>
      <c r="E288" s="320"/>
      <c r="F288" s="386"/>
      <c r="G288" s="386"/>
      <c r="H288" s="339"/>
      <c r="I288" s="319">
        <v>806483</v>
      </c>
      <c r="J288" s="312"/>
    </row>
    <row r="289" spans="2:11" s="308" customFormat="1" ht="15" customHeight="1">
      <c r="C289" s="324"/>
      <c r="D289" s="320" t="s">
        <v>149</v>
      </c>
      <c r="E289" s="320"/>
      <c r="F289" s="386"/>
      <c r="G289" s="386"/>
      <c r="H289" s="339"/>
      <c r="I289" s="319">
        <v>510260</v>
      </c>
      <c r="J289" s="312"/>
    </row>
    <row r="290" spans="2:11" s="308" customFormat="1" ht="15" customHeight="1">
      <c r="C290" s="324"/>
      <c r="D290" s="309"/>
      <c r="E290" s="309"/>
      <c r="F290" s="386"/>
      <c r="G290" s="386"/>
      <c r="H290" s="339"/>
      <c r="I290" s="319"/>
      <c r="J290" s="312"/>
    </row>
    <row r="291" spans="2:11" s="308" customFormat="1" ht="13.5" customHeight="1">
      <c r="C291" s="324"/>
      <c r="D291" s="340"/>
      <c r="E291" s="340"/>
      <c r="F291" s="386"/>
      <c r="G291" s="386"/>
      <c r="H291" s="325"/>
      <c r="I291" s="319"/>
      <c r="J291" s="312"/>
    </row>
    <row r="292" spans="2:11" s="308" customFormat="1" ht="15.75" customHeight="1">
      <c r="B292" s="368" t="s">
        <v>75</v>
      </c>
      <c r="C292" s="370" t="s">
        <v>153</v>
      </c>
      <c r="D292" s="309"/>
      <c r="E292" s="309"/>
      <c r="F292" s="395">
        <f>SUM(F287:F291)</f>
        <v>0</v>
      </c>
      <c r="G292" s="395">
        <f>SUM(G287:G291)</f>
        <v>0</v>
      </c>
      <c r="H292" s="341">
        <f>SUM(H287:H291)</f>
        <v>0</v>
      </c>
      <c r="I292" s="329">
        <f>SUM(I287:I291)</f>
        <v>2316743</v>
      </c>
      <c r="J292" s="329">
        <f>SUM(J287:J291)</f>
        <v>1000000</v>
      </c>
      <c r="K292" s="312">
        <f>SUM(G292:H292)</f>
        <v>0</v>
      </c>
    </row>
    <row r="293" spans="2:11" s="308" customFormat="1" ht="14.25" customHeight="1">
      <c r="B293" s="333"/>
      <c r="C293" s="326"/>
      <c r="D293" s="342"/>
      <c r="E293" s="342"/>
      <c r="F293" s="383"/>
      <c r="G293" s="383"/>
      <c r="H293" s="332"/>
      <c r="I293" s="343"/>
      <c r="J293" s="343"/>
      <c r="K293" s="312"/>
    </row>
    <row r="294" spans="2:11" s="308" customFormat="1" ht="15" customHeight="1">
      <c r="C294" s="344" t="s">
        <v>154</v>
      </c>
      <c r="D294" s="345"/>
      <c r="E294" s="345"/>
      <c r="F294" s="395">
        <f>F284+F292</f>
        <v>124371000</v>
      </c>
      <c r="G294" s="395">
        <f>G284+G292</f>
        <v>124371000</v>
      </c>
      <c r="H294" s="341">
        <f>H284+H292</f>
        <v>-28778653</v>
      </c>
      <c r="I294" s="329">
        <f>I284+I292</f>
        <v>104052030</v>
      </c>
      <c r="J294" s="329">
        <f>J284+J292</f>
        <v>102514961</v>
      </c>
      <c r="K294" s="312">
        <f>SUM(G294:H294)</f>
        <v>95592347</v>
      </c>
    </row>
    <row r="295" spans="2:11" s="308" customFormat="1" ht="13.5" customHeight="1">
      <c r="D295" s="309"/>
      <c r="E295" s="309"/>
      <c r="F295" s="310"/>
      <c r="G295" s="392"/>
      <c r="H295" s="319"/>
      <c r="I295" s="319"/>
      <c r="J295" s="312"/>
    </row>
    <row r="296" spans="2:11" s="308" customFormat="1" ht="13.5" customHeight="1">
      <c r="D296" s="309"/>
      <c r="E296" s="309"/>
      <c r="F296" s="310"/>
      <c r="G296" s="392"/>
      <c r="H296" s="319"/>
      <c r="I296" s="319"/>
      <c r="J296" s="312"/>
    </row>
    <row r="297" spans="2:11" s="308" customFormat="1" ht="11.25" customHeight="1">
      <c r="D297" s="309"/>
      <c r="E297" s="309"/>
      <c r="F297" s="310"/>
      <c r="G297" s="392"/>
      <c r="H297" s="319"/>
      <c r="I297" s="319"/>
      <c r="J297" s="312"/>
    </row>
    <row r="298" spans="2:11" s="308" customFormat="1" ht="16.5" customHeight="1">
      <c r="B298" s="326" t="s">
        <v>155</v>
      </c>
      <c r="D298" s="309"/>
      <c r="E298" s="309"/>
      <c r="F298" s="310"/>
      <c r="G298" s="392"/>
      <c r="H298" s="319"/>
      <c r="I298" s="319"/>
      <c r="J298" s="312"/>
    </row>
    <row r="299" spans="2:11" s="308" customFormat="1" ht="6.75" customHeight="1">
      <c r="B299" s="326"/>
      <c r="D299" s="309"/>
      <c r="E299" s="309"/>
      <c r="F299" s="310"/>
      <c r="G299" s="392"/>
      <c r="H299" s="319"/>
      <c r="I299" s="319"/>
      <c r="J299" s="312"/>
    </row>
    <row r="300" spans="2:11" s="308" customFormat="1" ht="15.75" customHeight="1">
      <c r="B300" s="317" t="s">
        <v>74</v>
      </c>
      <c r="C300" s="318" t="s">
        <v>249</v>
      </c>
      <c r="D300" s="309"/>
      <c r="E300" s="309"/>
      <c r="F300" s="310"/>
      <c r="G300" s="392"/>
      <c r="H300" s="319"/>
      <c r="I300" s="319"/>
      <c r="J300" s="312"/>
    </row>
    <row r="301" spans="2:11" s="308" customFormat="1" ht="6" customHeight="1">
      <c r="C301" s="324"/>
      <c r="D301" s="309"/>
      <c r="E301" s="309"/>
      <c r="F301" s="310"/>
      <c r="G301" s="386"/>
      <c r="H301" s="325"/>
      <c r="I301" s="319"/>
      <c r="J301" s="312"/>
    </row>
    <row r="302" spans="2:11" s="308" customFormat="1" ht="15" hidden="1">
      <c r="B302" s="322"/>
      <c r="C302" s="323"/>
      <c r="D302" s="347" t="s">
        <v>243</v>
      </c>
      <c r="E302" s="347"/>
      <c r="F302" s="386"/>
      <c r="G302" s="386"/>
      <c r="H302" s="339"/>
      <c r="I302" s="319"/>
      <c r="J302" s="312"/>
    </row>
    <row r="303" spans="2:11" s="308" customFormat="1" ht="30">
      <c r="B303" s="322"/>
      <c r="C303" s="323"/>
      <c r="D303" s="347" t="s">
        <v>250</v>
      </c>
      <c r="E303" s="347"/>
      <c r="F303" s="396">
        <v>5120000</v>
      </c>
      <c r="G303" s="396">
        <v>5120000</v>
      </c>
      <c r="H303" s="339"/>
      <c r="I303" s="389">
        <f>SUM(G303:H303)</f>
        <v>5120000</v>
      </c>
      <c r="J303" s="312">
        <v>5120000</v>
      </c>
    </row>
    <row r="304" spans="2:11" s="308" customFormat="1" ht="14.25" hidden="1" customHeight="1">
      <c r="B304" s="322"/>
      <c r="C304" s="323"/>
      <c r="D304" s="347" t="s">
        <v>251</v>
      </c>
      <c r="E304" s="347"/>
      <c r="F304" s="386">
        <v>710058000</v>
      </c>
      <c r="G304" s="386">
        <f>743425000-33367000</f>
        <v>710058000</v>
      </c>
      <c r="H304" s="339">
        <v>-710058000</v>
      </c>
      <c r="I304" s="319">
        <f>SUM(G304:H304)</f>
        <v>0</v>
      </c>
      <c r="J304" s="312"/>
    </row>
    <row r="305" spans="2:11" s="308" customFormat="1" ht="15">
      <c r="B305" s="322"/>
      <c r="C305" s="323"/>
      <c r="D305" s="347" t="s">
        <v>235</v>
      </c>
      <c r="E305" s="347"/>
      <c r="F305" s="386">
        <v>0</v>
      </c>
      <c r="G305" s="386"/>
      <c r="H305" s="339"/>
      <c r="I305" s="319">
        <v>2188868</v>
      </c>
      <c r="J305" s="312">
        <v>2188868</v>
      </c>
    </row>
    <row r="306" spans="2:11" s="308" customFormat="1" ht="30">
      <c r="B306" s="322"/>
      <c r="C306" s="323"/>
      <c r="D306" s="347" t="s">
        <v>252</v>
      </c>
      <c r="E306" s="347"/>
      <c r="F306" s="396">
        <v>0</v>
      </c>
      <c r="G306" s="396"/>
      <c r="H306" s="388"/>
      <c r="I306" s="389">
        <v>4000000</v>
      </c>
      <c r="J306" s="397">
        <v>4000000</v>
      </c>
    </row>
    <row r="307" spans="2:11" s="308" customFormat="1" ht="15">
      <c r="B307" s="322"/>
      <c r="C307" s="323"/>
      <c r="D307" s="347"/>
      <c r="E307" s="347"/>
      <c r="F307" s="386">
        <v>0</v>
      </c>
      <c r="G307" s="386"/>
      <c r="H307" s="339"/>
      <c r="I307" s="319">
        <f>SUM(G307:H307)</f>
        <v>0</v>
      </c>
      <c r="J307" s="312">
        <f>G307-F307</f>
        <v>0</v>
      </c>
    </row>
    <row r="308" spans="2:11" s="308" customFormat="1" ht="15">
      <c r="B308" s="322"/>
      <c r="C308" s="323"/>
      <c r="D308" s="320"/>
      <c r="E308" s="320"/>
      <c r="F308" s="390">
        <v>0</v>
      </c>
      <c r="G308" s="386"/>
      <c r="H308" s="339"/>
      <c r="I308" s="319">
        <f>SUM(G308:H308)</f>
        <v>0</v>
      </c>
      <c r="J308" s="312">
        <f>G308-F308</f>
        <v>0</v>
      </c>
    </row>
    <row r="309" spans="2:11" s="308" customFormat="1" ht="15">
      <c r="B309" s="322"/>
      <c r="C309" s="323"/>
      <c r="D309" s="320"/>
      <c r="E309" s="320"/>
      <c r="F309" s="391">
        <v>0</v>
      </c>
      <c r="G309" s="386"/>
      <c r="H309" s="339"/>
      <c r="I309" s="319">
        <f>SUM(G309:H309)</f>
        <v>0</v>
      </c>
      <c r="J309" s="312">
        <f>G309-F309</f>
        <v>0</v>
      </c>
    </row>
    <row r="310" spans="2:11" s="308" customFormat="1" ht="12" customHeight="1">
      <c r="D310" s="309"/>
      <c r="E310" s="309"/>
      <c r="F310" s="310"/>
      <c r="G310" s="392"/>
      <c r="H310" s="319"/>
      <c r="I310" s="319"/>
      <c r="J310" s="312"/>
    </row>
    <row r="311" spans="2:11" s="308" customFormat="1" ht="17.25" customHeight="1">
      <c r="B311" s="398" t="s">
        <v>74</v>
      </c>
      <c r="C311" s="369" t="s">
        <v>253</v>
      </c>
      <c r="D311" s="309"/>
      <c r="E311" s="309"/>
      <c r="F311" s="395">
        <f>SUM(F302:F310)</f>
        <v>715178000</v>
      </c>
      <c r="G311" s="395">
        <f>SUM(G302:G310)</f>
        <v>715178000</v>
      </c>
      <c r="H311" s="328">
        <f>SUM(H302:H310)</f>
        <v>-710058000</v>
      </c>
      <c r="I311" s="351">
        <f>SUM(I302:I310)</f>
        <v>11308868</v>
      </c>
      <c r="J311" s="351">
        <f>SUM(J302:J310)</f>
        <v>11308868</v>
      </c>
      <c r="K311" s="312">
        <f>SUM(G311:H311)</f>
        <v>5120000</v>
      </c>
    </row>
    <row r="312" spans="2:11" s="308" customFormat="1" ht="8.25" customHeight="1">
      <c r="D312" s="309"/>
      <c r="E312" s="309"/>
      <c r="F312" s="310"/>
      <c r="G312" s="392"/>
      <c r="H312" s="319"/>
      <c r="I312" s="319"/>
      <c r="J312" s="312"/>
    </row>
    <row r="313" spans="2:11" s="308" customFormat="1" ht="15" customHeight="1">
      <c r="B313" s="336" t="s">
        <v>75</v>
      </c>
      <c r="C313" s="318" t="s">
        <v>226</v>
      </c>
      <c r="D313" s="309"/>
      <c r="E313" s="309"/>
      <c r="F313" s="310"/>
      <c r="G313" s="392"/>
      <c r="H313" s="319"/>
      <c r="I313" s="319"/>
      <c r="J313" s="312"/>
    </row>
    <row r="314" spans="2:11" s="308" customFormat="1" ht="15" customHeight="1">
      <c r="B314" s="352"/>
      <c r="C314" s="324"/>
      <c r="D314" s="309" t="s">
        <v>254</v>
      </c>
      <c r="E314" s="309"/>
      <c r="F314" s="392">
        <v>5000000</v>
      </c>
      <c r="G314" s="392">
        <v>5000000</v>
      </c>
      <c r="H314" s="339"/>
      <c r="I314" s="319">
        <f>SUM(G314:H314)</f>
        <v>5000000</v>
      </c>
      <c r="J314" s="312">
        <f>1120938+2301340</f>
        <v>3422278</v>
      </c>
    </row>
    <row r="315" spans="2:11" s="308" customFormat="1" ht="15.75" customHeight="1">
      <c r="B315" s="352"/>
      <c r="C315" s="324"/>
      <c r="D315" s="309" t="s">
        <v>255</v>
      </c>
      <c r="E315" s="309"/>
      <c r="F315" s="310"/>
      <c r="G315" s="392"/>
      <c r="H315" s="339"/>
      <c r="I315" s="319">
        <v>8500000</v>
      </c>
      <c r="J315" s="312">
        <v>8500000</v>
      </c>
    </row>
    <row r="316" spans="2:11" s="308" customFormat="1" ht="15" hidden="1" customHeight="1">
      <c r="B316" s="352"/>
      <c r="C316" s="324"/>
      <c r="D316" s="309"/>
      <c r="E316" s="309"/>
      <c r="F316" s="310"/>
      <c r="G316" s="392"/>
      <c r="H316" s="339"/>
      <c r="I316" s="319">
        <f>SUM(G316:H316)</f>
        <v>0</v>
      </c>
      <c r="J316" s="312"/>
    </row>
    <row r="317" spans="2:11" s="308" customFormat="1" ht="15" hidden="1" customHeight="1">
      <c r="B317" s="352"/>
      <c r="C317" s="324"/>
      <c r="D317" s="309"/>
      <c r="E317" s="309"/>
      <c r="F317" s="310"/>
      <c r="G317" s="386"/>
      <c r="H317" s="339"/>
      <c r="I317" s="319">
        <f>SUM(G317:H317)</f>
        <v>0</v>
      </c>
      <c r="J317" s="312"/>
    </row>
    <row r="318" spans="2:11" s="308" customFormat="1" ht="7.5" customHeight="1">
      <c r="B318" s="352"/>
      <c r="D318" s="309"/>
      <c r="E318" s="309"/>
      <c r="F318" s="310"/>
      <c r="G318" s="392"/>
      <c r="H318" s="319"/>
      <c r="I318" s="319"/>
      <c r="J318" s="312"/>
    </row>
    <row r="319" spans="2:11" s="308" customFormat="1" ht="16.5" customHeight="1">
      <c r="B319" s="399" t="s">
        <v>75</v>
      </c>
      <c r="C319" s="369" t="s">
        <v>230</v>
      </c>
      <c r="D319" s="309"/>
      <c r="E319" s="309"/>
      <c r="F319" s="327">
        <f>SUM(F314:F318)</f>
        <v>5000000</v>
      </c>
      <c r="G319" s="327">
        <f>SUM(G314:G318)</f>
        <v>5000000</v>
      </c>
      <c r="H319" s="328">
        <f>SUM(H314:H318)</f>
        <v>0</v>
      </c>
      <c r="I319" s="351">
        <f>SUM(I314:I318)</f>
        <v>13500000</v>
      </c>
      <c r="J319" s="351">
        <f>SUM(J314:J318)</f>
        <v>11922278</v>
      </c>
      <c r="K319" s="312">
        <f>SUM(G319:H319)</f>
        <v>5000000</v>
      </c>
    </row>
    <row r="320" spans="2:11" s="308" customFormat="1" ht="12.75" customHeight="1">
      <c r="D320" s="309"/>
      <c r="E320" s="309"/>
      <c r="F320" s="312"/>
      <c r="G320" s="312"/>
      <c r="H320" s="319"/>
      <c r="I320" s="319"/>
      <c r="J320" s="319"/>
    </row>
    <row r="321" spans="1:11" s="308" customFormat="1" ht="18" customHeight="1">
      <c r="A321" s="400"/>
      <c r="B321" s="400"/>
      <c r="C321" s="344" t="s">
        <v>160</v>
      </c>
      <c r="D321" s="345"/>
      <c r="E321" s="345"/>
      <c r="F321" s="327">
        <f>SUM(F311+F319)</f>
        <v>720178000</v>
      </c>
      <c r="G321" s="327">
        <f>SUM(G311+G319)</f>
        <v>720178000</v>
      </c>
      <c r="H321" s="353">
        <f>SUM(H311+H319)</f>
        <v>-710058000</v>
      </c>
      <c r="I321" s="329">
        <f>SUM(I311+I319)</f>
        <v>24808868</v>
      </c>
      <c r="J321" s="327">
        <f>SUM(J311+J319)</f>
        <v>23231146</v>
      </c>
      <c r="K321" s="312">
        <f>SUM(G321:H321)</f>
        <v>10120000</v>
      </c>
    </row>
    <row r="322" spans="1:11" s="308" customFormat="1" ht="9.75" customHeight="1">
      <c r="D322" s="309"/>
      <c r="E322" s="309"/>
      <c r="F322" s="312"/>
      <c r="G322" s="312"/>
      <c r="H322" s="319"/>
      <c r="I322" s="319"/>
      <c r="J322" s="319"/>
    </row>
    <row r="323" spans="1:11" s="308" customFormat="1" ht="17.25" customHeight="1">
      <c r="A323" s="326" t="s">
        <v>256</v>
      </c>
      <c r="D323" s="309"/>
      <c r="E323" s="309"/>
      <c r="F323" s="327">
        <f>SUM(F294+F321)</f>
        <v>844549000</v>
      </c>
      <c r="G323" s="327">
        <f>SUM(G294+G321)</f>
        <v>844549000</v>
      </c>
      <c r="H323" s="328">
        <f>SUM(H294+H321)</f>
        <v>-738836653</v>
      </c>
      <c r="I323" s="334">
        <f>SUM(I294+I321)</f>
        <v>128860898</v>
      </c>
      <c r="J323" s="327">
        <f>SUM(J294+J321)</f>
        <v>125746107</v>
      </c>
      <c r="K323" s="312"/>
    </row>
    <row r="324" spans="1:11" s="293" customFormat="1" ht="6.75" customHeight="1">
      <c r="A324" s="326"/>
      <c r="B324" s="308"/>
      <c r="C324" s="308"/>
      <c r="D324" s="309"/>
      <c r="E324" s="309"/>
      <c r="F324" s="310"/>
      <c r="G324" s="330"/>
      <c r="H324" s="343"/>
      <c r="I324" s="343"/>
      <c r="J324" s="306"/>
    </row>
    <row r="325" spans="1:11" s="293" customFormat="1" ht="15" customHeight="1">
      <c r="A325" s="344" t="s">
        <v>257</v>
      </c>
      <c r="B325" s="1706" t="s">
        <v>258</v>
      </c>
      <c r="C325" s="1706"/>
      <c r="D325" s="1706"/>
      <c r="E325" s="400"/>
      <c r="F325" s="1706"/>
      <c r="G325" s="1706"/>
      <c r="H325" s="1706"/>
      <c r="I325" s="401"/>
      <c r="J325" s="401"/>
    </row>
    <row r="326" spans="1:11" s="293" customFormat="1" ht="14.25" customHeight="1">
      <c r="A326" s="326"/>
      <c r="B326" s="326"/>
      <c r="C326" s="308"/>
      <c r="D326" s="309"/>
      <c r="E326" s="309"/>
      <c r="F326" s="310"/>
      <c r="G326" s="312"/>
      <c r="H326" s="319"/>
      <c r="I326" s="319"/>
      <c r="J326" s="306"/>
    </row>
    <row r="327" spans="1:11" s="293" customFormat="1" ht="15.75" hidden="1" customHeight="1">
      <c r="A327" s="326"/>
      <c r="B327" s="326"/>
      <c r="C327" s="308"/>
      <c r="D327" s="309"/>
      <c r="E327" s="309"/>
      <c r="F327" s="310"/>
      <c r="G327" s="312"/>
      <c r="H327" s="319"/>
      <c r="I327" s="319"/>
      <c r="J327" s="306"/>
    </row>
    <row r="328" spans="1:11" s="308" customFormat="1" ht="15" hidden="1">
      <c r="B328" s="308" t="s">
        <v>74</v>
      </c>
      <c r="C328" s="308" t="s">
        <v>259</v>
      </c>
      <c r="D328" s="309"/>
      <c r="E328" s="309"/>
      <c r="F328" s="310"/>
      <c r="G328" s="312"/>
      <c r="H328" s="319"/>
      <c r="I328" s="319"/>
      <c r="J328" s="312"/>
    </row>
    <row r="329" spans="1:11" s="308" customFormat="1" ht="15.75" hidden="1" customHeight="1">
      <c r="B329" s="322"/>
      <c r="C329" s="323"/>
      <c r="D329" s="309"/>
      <c r="E329" s="309"/>
      <c r="F329" s="310"/>
      <c r="G329" s="312"/>
      <c r="H329" s="319"/>
      <c r="I329" s="319"/>
      <c r="J329" s="312"/>
    </row>
    <row r="330" spans="1:11" s="308" customFormat="1" ht="15" hidden="1">
      <c r="B330" s="322"/>
      <c r="C330" s="323"/>
      <c r="D330" s="309" t="s">
        <v>260</v>
      </c>
      <c r="E330" s="309"/>
      <c r="F330" s="310"/>
      <c r="G330" s="338">
        <v>0</v>
      </c>
      <c r="H330" s="339">
        <v>0</v>
      </c>
      <c r="I330" s="319">
        <f>SUM(G330:H330)</f>
        <v>0</v>
      </c>
      <c r="J330" s="312"/>
    </row>
    <row r="331" spans="1:11" s="308" customFormat="1" ht="15" hidden="1">
      <c r="D331" s="309"/>
      <c r="E331" s="309"/>
      <c r="F331" s="310"/>
      <c r="G331" s="338">
        <v>0</v>
      </c>
      <c r="H331" s="339">
        <f>SUM(J331:GT331)</f>
        <v>0</v>
      </c>
      <c r="I331" s="319">
        <f>SUM(G331:H331)</f>
        <v>0</v>
      </c>
      <c r="J331" s="312"/>
    </row>
    <row r="332" spans="1:11" s="308" customFormat="1" ht="15" hidden="1">
      <c r="C332" s="324"/>
      <c r="D332" s="309"/>
      <c r="E332" s="309"/>
      <c r="F332" s="310"/>
      <c r="G332" s="338"/>
      <c r="H332" s="325"/>
      <c r="I332" s="319"/>
      <c r="J332" s="312"/>
    </row>
    <row r="333" spans="1:11" s="308" customFormat="1" ht="15" hidden="1">
      <c r="B333" s="308" t="s">
        <v>74</v>
      </c>
      <c r="C333" s="326" t="s">
        <v>261</v>
      </c>
      <c r="D333" s="309"/>
      <c r="E333" s="309"/>
      <c r="F333" s="310"/>
      <c r="G333" s="327">
        <f>SUM(G330:G332)</f>
        <v>0</v>
      </c>
      <c r="H333" s="328">
        <f>SUM(H330:H332)</f>
        <v>0</v>
      </c>
      <c r="I333" s="334">
        <f>SUM(I330:I332)</f>
        <v>0</v>
      </c>
      <c r="J333" s="312"/>
    </row>
    <row r="334" spans="1:11" s="293" customFormat="1" ht="15.75" hidden="1" customHeight="1">
      <c r="A334" s="326"/>
      <c r="B334" s="326"/>
      <c r="C334" s="308"/>
      <c r="D334" s="309"/>
      <c r="E334" s="309"/>
      <c r="F334" s="310"/>
      <c r="G334" s="312"/>
      <c r="H334" s="319"/>
      <c r="I334" s="319"/>
      <c r="J334" s="306"/>
    </row>
    <row r="335" spans="1:11" s="293" customFormat="1" ht="15.75" hidden="1" customHeight="1">
      <c r="A335" s="326"/>
      <c r="B335" s="326"/>
      <c r="C335" s="308"/>
      <c r="D335" s="309"/>
      <c r="E335" s="309"/>
      <c r="F335" s="310"/>
      <c r="G335" s="312"/>
      <c r="H335" s="319"/>
      <c r="I335" s="319"/>
      <c r="J335" s="306"/>
    </row>
    <row r="336" spans="1:11" s="293" customFormat="1" ht="19.5" customHeight="1">
      <c r="A336" s="308"/>
      <c r="B336" s="308"/>
      <c r="C336" s="326" t="s">
        <v>262</v>
      </c>
      <c r="D336" s="309"/>
      <c r="E336" s="309"/>
      <c r="F336" s="402">
        <f>F294+F164+F30</f>
        <v>1149748451</v>
      </c>
      <c r="G336" s="402">
        <f>G294+G164+G30</f>
        <v>1190489231</v>
      </c>
      <c r="H336" s="403">
        <f>H294+H164+H30</f>
        <v>-30358832</v>
      </c>
      <c r="I336" s="404">
        <f>I294+I164+I30</f>
        <v>1260659981</v>
      </c>
      <c r="J336" s="402">
        <f>J294+J164+J30</f>
        <v>1259130762</v>
      </c>
    </row>
    <row r="337" spans="1:11" s="293" customFormat="1" ht="18" customHeight="1">
      <c r="A337" s="308"/>
      <c r="B337" s="308"/>
      <c r="C337" s="326" t="s">
        <v>263</v>
      </c>
      <c r="D337" s="309"/>
      <c r="E337" s="309"/>
      <c r="F337" s="402">
        <f>F321+F214+F55</f>
        <v>720178000</v>
      </c>
      <c r="G337" s="402">
        <f>G321+G214+G55</f>
        <v>727273930</v>
      </c>
      <c r="H337" s="403">
        <f>H321+H214+H55</f>
        <v>-710058000</v>
      </c>
      <c r="I337" s="404">
        <f>I321+I214+I55</f>
        <v>31977462</v>
      </c>
      <c r="J337" s="402">
        <f>J321+J214+J55</f>
        <v>29199740</v>
      </c>
    </row>
    <row r="338" spans="1:11" s="293" customFormat="1" ht="15">
      <c r="A338" s="308"/>
      <c r="B338" s="308"/>
      <c r="C338" s="326" t="s">
        <v>264</v>
      </c>
      <c r="D338" s="309"/>
      <c r="E338" s="309"/>
      <c r="F338" s="310"/>
      <c r="G338" s="379">
        <f>SUM(C338:D338)</f>
        <v>0</v>
      </c>
      <c r="H338" s="403">
        <f>SUM(D338:G338)</f>
        <v>0</v>
      </c>
      <c r="I338" s="404">
        <f>SUM(G338:H338)</f>
        <v>0</v>
      </c>
      <c r="J338" s="306"/>
    </row>
    <row r="339" spans="1:11" s="293" customFormat="1" ht="13.5" customHeight="1">
      <c r="A339" s="308"/>
      <c r="B339" s="308"/>
      <c r="C339" s="308"/>
      <c r="D339" s="309"/>
      <c r="E339" s="309"/>
      <c r="F339" s="310"/>
      <c r="G339" s="308"/>
      <c r="H339" s="405"/>
      <c r="I339" s="406"/>
      <c r="J339" s="306"/>
    </row>
    <row r="340" spans="1:11" s="293" customFormat="1" ht="20.25" customHeight="1">
      <c r="A340" s="344" t="s">
        <v>265</v>
      </c>
      <c r="B340" s="407"/>
      <c r="C340" s="407"/>
      <c r="D340" s="345"/>
      <c r="E340" s="345"/>
      <c r="F340" s="408">
        <f>SUM(F336:F339)</f>
        <v>1869926451</v>
      </c>
      <c r="G340" s="408">
        <f>SUM(G336:G339)</f>
        <v>1917763161</v>
      </c>
      <c r="H340" s="409">
        <f>SUM(H336:H338)</f>
        <v>-740416832</v>
      </c>
      <c r="I340" s="409">
        <f>SUM(I336:I338)</f>
        <v>1292637443</v>
      </c>
      <c r="J340" s="409">
        <f>SUM(J336:J338)</f>
        <v>1288330502</v>
      </c>
      <c r="K340" s="312">
        <f>SUM(G340:H340)</f>
        <v>1177346329</v>
      </c>
    </row>
    <row r="341" spans="1:11" s="293" customFormat="1" ht="12" customHeight="1">
      <c r="A341" s="381"/>
      <c r="B341" s="380"/>
      <c r="C341" s="380"/>
      <c r="D341" s="364"/>
      <c r="E341" s="364"/>
      <c r="F341" s="410"/>
      <c r="G341" s="383"/>
      <c r="H341" s="332"/>
      <c r="I341" s="332"/>
      <c r="J341" s="306"/>
      <c r="K341" s="306"/>
    </row>
    <row r="342" spans="1:11" s="293" customFormat="1" ht="17.25" hidden="1" customHeight="1">
      <c r="A342" s="326"/>
      <c r="B342" s="308"/>
      <c r="C342" s="308"/>
      <c r="D342" s="309"/>
      <c r="E342" s="309"/>
      <c r="F342" s="310"/>
      <c r="G342" s="330"/>
      <c r="H342" s="332"/>
      <c r="I342" s="343"/>
      <c r="J342" s="306"/>
    </row>
    <row r="343" spans="1:11" s="293" customFormat="1" ht="15" hidden="1" customHeight="1">
      <c r="A343" s="381" t="s">
        <v>266</v>
      </c>
      <c r="B343" s="326" t="s">
        <v>267</v>
      </c>
      <c r="C343" s="308"/>
      <c r="D343" s="309"/>
      <c r="E343" s="309"/>
      <c r="F343" s="310"/>
      <c r="G343" s="330"/>
      <c r="H343" s="332"/>
      <c r="I343" s="343"/>
      <c r="J343" s="306"/>
    </row>
    <row r="344" spans="1:11" s="293" customFormat="1" ht="12" hidden="1" customHeight="1">
      <c r="A344" s="381"/>
      <c r="B344" s="326"/>
      <c r="C344" s="308"/>
      <c r="D344" s="309"/>
      <c r="E344" s="309"/>
      <c r="F344" s="310"/>
      <c r="G344" s="330"/>
      <c r="H344" s="332"/>
      <c r="I344" s="343"/>
      <c r="J344" s="306"/>
    </row>
    <row r="345" spans="1:11" s="293" customFormat="1" ht="15" hidden="1" customHeight="1">
      <c r="A345" s="381"/>
      <c r="B345" s="326"/>
      <c r="C345" s="326" t="s">
        <v>268</v>
      </c>
      <c r="D345" s="326"/>
      <c r="E345" s="326"/>
      <c r="F345" s="373"/>
      <c r="G345" s="330"/>
      <c r="H345" s="332"/>
      <c r="I345" s="343"/>
      <c r="J345" s="306"/>
    </row>
    <row r="346" spans="1:11" s="293" customFormat="1" ht="13.5" hidden="1" customHeight="1">
      <c r="A346" s="381"/>
      <c r="B346" s="326"/>
      <c r="C346" s="308"/>
      <c r="D346" s="309"/>
      <c r="E346" s="309"/>
      <c r="F346" s="310"/>
      <c r="G346" s="402"/>
      <c r="H346" s="403"/>
      <c r="I346" s="411"/>
      <c r="J346" s="306"/>
    </row>
    <row r="347" spans="1:11" s="293" customFormat="1" ht="12.75" hidden="1" customHeight="1">
      <c r="A347" s="381"/>
      <c r="B347" s="326"/>
      <c r="C347" s="308"/>
      <c r="D347" s="309"/>
      <c r="E347" s="309"/>
      <c r="F347" s="310"/>
      <c r="G347" s="379"/>
      <c r="H347" s="404"/>
      <c r="I347" s="411"/>
      <c r="J347" s="306"/>
    </row>
    <row r="348" spans="1:11" s="293" customFormat="1" ht="15" hidden="1" customHeight="1">
      <c r="A348" s="381"/>
      <c r="B348" s="326"/>
      <c r="C348" s="326" t="s">
        <v>269</v>
      </c>
      <c r="D348" s="309"/>
      <c r="E348" s="309"/>
      <c r="F348" s="310"/>
      <c r="G348" s="350"/>
      <c r="H348" s="328"/>
      <c r="I348" s="351"/>
      <c r="J348" s="306"/>
    </row>
    <row r="349" spans="1:11" s="293" customFormat="1" ht="11.25" hidden="1" customHeight="1">
      <c r="A349" s="381"/>
      <c r="B349" s="326"/>
      <c r="C349" s="326"/>
      <c r="D349" s="309"/>
      <c r="E349" s="309"/>
      <c r="F349" s="310"/>
      <c r="G349" s="330"/>
      <c r="H349" s="332"/>
      <c r="I349" s="332"/>
      <c r="J349" s="306"/>
    </row>
    <row r="350" spans="1:11" s="293" customFormat="1" ht="15" hidden="1" customHeight="1">
      <c r="A350" s="381"/>
      <c r="B350" s="326"/>
      <c r="C350" s="326"/>
      <c r="D350" s="309"/>
      <c r="E350" s="309"/>
      <c r="F350" s="310"/>
      <c r="G350" s="330"/>
      <c r="H350" s="332"/>
      <c r="I350" s="332"/>
      <c r="J350" s="306"/>
    </row>
    <row r="351" spans="1:11" s="293" customFormat="1" ht="13.5" hidden="1" customHeight="1">
      <c r="A351" s="326"/>
      <c r="B351" s="308"/>
      <c r="C351" s="326" t="s">
        <v>270</v>
      </c>
      <c r="D351" s="309"/>
      <c r="E351" s="309"/>
      <c r="F351" s="310"/>
      <c r="G351" s="383"/>
      <c r="H351" s="332"/>
      <c r="I351" s="343"/>
      <c r="J351" s="306"/>
    </row>
    <row r="352" spans="1:11" s="293" customFormat="1" ht="15" hidden="1" customHeight="1">
      <c r="A352" s="326"/>
      <c r="B352" s="308"/>
      <c r="C352" s="308"/>
      <c r="D352" s="309" t="s">
        <v>271</v>
      </c>
      <c r="E352" s="309"/>
      <c r="F352" s="402"/>
      <c r="G352" s="402"/>
      <c r="H352" s="403"/>
      <c r="I352" s="411"/>
      <c r="J352" s="312"/>
    </row>
    <row r="353" spans="1:11" s="293" customFormat="1" ht="25.5" hidden="1" customHeight="1">
      <c r="A353" s="326"/>
      <c r="B353" s="308"/>
      <c r="C353" s="308"/>
      <c r="D353" s="309" t="s">
        <v>272</v>
      </c>
      <c r="E353" s="309"/>
      <c r="F353" s="402"/>
      <c r="G353" s="402"/>
      <c r="H353" s="403"/>
      <c r="I353" s="411"/>
      <c r="J353" s="312"/>
    </row>
    <row r="354" spans="1:11" s="293" customFormat="1" ht="14.25" hidden="1" customHeight="1">
      <c r="A354" s="326"/>
      <c r="B354" s="308"/>
      <c r="C354" s="308"/>
      <c r="D354" s="309"/>
      <c r="E354" s="309"/>
      <c r="F354" s="310"/>
      <c r="G354" s="402"/>
      <c r="H354" s="404"/>
      <c r="I354" s="411"/>
      <c r="J354" s="306"/>
    </row>
    <row r="355" spans="1:11" s="293" customFormat="1" ht="15" hidden="1" customHeight="1">
      <c r="A355" s="326"/>
      <c r="B355" s="308"/>
      <c r="C355" s="326" t="s">
        <v>273</v>
      </c>
      <c r="D355" s="309"/>
      <c r="E355" s="309"/>
      <c r="F355" s="395">
        <f>SUM(F352:F354)</f>
        <v>0</v>
      </c>
      <c r="G355" s="395">
        <f>SUM(G352:G354)</f>
        <v>0</v>
      </c>
      <c r="H355" s="328">
        <f>SUM(H352:H354)</f>
        <v>0</v>
      </c>
      <c r="I355" s="351">
        <f>SUM(I352:I354)</f>
        <v>0</v>
      </c>
      <c r="J355" s="351">
        <f>SUM(J352:J354)</f>
        <v>0</v>
      </c>
      <c r="K355" s="312">
        <f>SUM(G355:H355)</f>
        <v>0</v>
      </c>
    </row>
    <row r="356" spans="1:11" s="293" customFormat="1" ht="7.5" hidden="1" customHeight="1">
      <c r="A356" s="326"/>
      <c r="B356" s="308"/>
      <c r="C356" s="326"/>
      <c r="D356" s="309"/>
      <c r="E356" s="309"/>
      <c r="F356" s="383"/>
      <c r="G356" s="383"/>
      <c r="H356" s="332"/>
      <c r="I356" s="332"/>
      <c r="J356" s="332"/>
      <c r="K356" s="306"/>
    </row>
    <row r="357" spans="1:11" s="308" customFormat="1" ht="16.5" hidden="1" customHeight="1">
      <c r="C357" s="344" t="s">
        <v>274</v>
      </c>
      <c r="D357" s="345"/>
      <c r="E357" s="345"/>
      <c r="F357" s="395">
        <f>SUM(F346+F355)</f>
        <v>0</v>
      </c>
      <c r="G357" s="395">
        <f>SUM(G346+G355)</f>
        <v>0</v>
      </c>
      <c r="H357" s="353">
        <f>SUM(H346+H355)</f>
        <v>0</v>
      </c>
      <c r="I357" s="329">
        <f>SUM(G357:H357)</f>
        <v>0</v>
      </c>
      <c r="J357" s="395">
        <f>SUM(J346+J355)</f>
        <v>0</v>
      </c>
      <c r="K357" s="312">
        <f>SUM(G357:H357)</f>
        <v>0</v>
      </c>
    </row>
    <row r="358" spans="1:11" s="293" customFormat="1" ht="11.25" hidden="1" customHeight="1">
      <c r="A358" s="326"/>
      <c r="B358" s="308"/>
      <c r="C358" s="326"/>
      <c r="D358" s="309"/>
      <c r="E358" s="309"/>
      <c r="F358" s="310"/>
      <c r="G358" s="383"/>
      <c r="H358" s="332"/>
      <c r="I358" s="332"/>
      <c r="J358" s="306"/>
      <c r="K358" s="306"/>
    </row>
    <row r="359" spans="1:11" s="293" customFormat="1" ht="15" customHeight="1">
      <c r="A359" s="381" t="s">
        <v>275</v>
      </c>
      <c r="B359" s="326" t="s">
        <v>276</v>
      </c>
      <c r="C359" s="308"/>
      <c r="D359" s="309"/>
      <c r="E359" s="309"/>
      <c r="F359" s="310"/>
      <c r="G359" s="392"/>
      <c r="H359" s="319"/>
      <c r="I359" s="319"/>
      <c r="J359" s="306"/>
    </row>
    <row r="360" spans="1:11" s="293" customFormat="1" ht="8.25" customHeight="1">
      <c r="A360" s="381"/>
      <c r="B360" s="326"/>
      <c r="C360" s="308"/>
      <c r="D360" s="309"/>
      <c r="E360" s="309"/>
      <c r="F360" s="310"/>
      <c r="G360" s="392"/>
      <c r="H360" s="319"/>
      <c r="I360" s="319"/>
      <c r="J360" s="306"/>
    </row>
    <row r="361" spans="1:11" s="293" customFormat="1" ht="15.75" customHeight="1">
      <c r="A361" s="308"/>
      <c r="B361" s="308"/>
      <c r="C361" s="326" t="s">
        <v>277</v>
      </c>
      <c r="D361" s="309"/>
      <c r="E361" s="309"/>
      <c r="F361" s="310"/>
      <c r="G361" s="386"/>
      <c r="H361" s="325"/>
      <c r="I361" s="319"/>
      <c r="J361" s="306"/>
    </row>
    <row r="362" spans="1:11" s="293" customFormat="1" ht="15" hidden="1" customHeight="1">
      <c r="A362" s="308"/>
      <c r="B362" s="308"/>
      <c r="C362" s="308"/>
      <c r="D362" s="412"/>
      <c r="E362" s="412"/>
      <c r="F362" s="386"/>
      <c r="G362" s="386"/>
      <c r="H362" s="339"/>
      <c r="I362" s="319"/>
      <c r="J362" s="312"/>
    </row>
    <row r="363" spans="1:11" s="293" customFormat="1" ht="17.25" hidden="1" customHeight="1">
      <c r="A363" s="308"/>
      <c r="B363" s="308"/>
      <c r="C363" s="308"/>
      <c r="D363" s="309"/>
      <c r="E363" s="309"/>
      <c r="F363" s="396"/>
      <c r="G363" s="396"/>
      <c r="H363" s="388"/>
      <c r="I363" s="389"/>
      <c r="J363" s="312"/>
    </row>
    <row r="364" spans="1:11" s="293" customFormat="1" ht="27.75" hidden="1" customHeight="1">
      <c r="A364" s="308"/>
      <c r="B364" s="308"/>
      <c r="C364" s="308"/>
      <c r="D364" s="412"/>
      <c r="E364" s="412"/>
      <c r="F364" s="386"/>
      <c r="G364" s="386"/>
      <c r="H364" s="339"/>
      <c r="I364" s="319"/>
      <c r="J364" s="312"/>
    </row>
    <row r="365" spans="1:11" s="293" customFormat="1" ht="15" hidden="1" customHeight="1">
      <c r="A365" s="308"/>
      <c r="B365" s="308"/>
      <c r="C365" s="308"/>
      <c r="D365" s="412"/>
      <c r="E365" s="412"/>
      <c r="F365" s="310"/>
      <c r="G365" s="338"/>
      <c r="H365" s="339"/>
      <c r="I365" s="319"/>
      <c r="J365" s="306"/>
    </row>
    <row r="366" spans="1:11" s="293" customFormat="1" ht="15" hidden="1" customHeight="1">
      <c r="A366" s="308"/>
      <c r="B366" s="308"/>
      <c r="C366" s="308"/>
      <c r="D366" s="412"/>
      <c r="E366" s="412"/>
      <c r="F366" s="310"/>
      <c r="G366" s="338"/>
      <c r="H366" s="339"/>
      <c r="I366" s="319"/>
      <c r="J366" s="306"/>
    </row>
    <row r="367" spans="1:11" s="293" customFormat="1" ht="15" hidden="1" customHeight="1">
      <c r="A367" s="308"/>
      <c r="B367" s="308"/>
      <c r="C367" s="308"/>
      <c r="D367" s="412"/>
      <c r="E367" s="412"/>
      <c r="F367" s="310"/>
      <c r="G367" s="338"/>
      <c r="H367" s="339"/>
      <c r="I367" s="319"/>
      <c r="J367" s="306"/>
    </row>
    <row r="368" spans="1:11" s="293" customFormat="1" ht="15" hidden="1" customHeight="1">
      <c r="A368" s="308"/>
      <c r="B368" s="308"/>
      <c r="C368" s="308"/>
      <c r="D368" s="309"/>
      <c r="E368" s="309"/>
      <c r="F368" s="310"/>
      <c r="G368" s="338"/>
      <c r="H368" s="339"/>
      <c r="I368" s="319"/>
      <c r="J368" s="306"/>
    </row>
    <row r="369" spans="1:11" s="293" customFormat="1" ht="8.25" customHeight="1">
      <c r="A369" s="308"/>
      <c r="B369" s="308"/>
      <c r="C369" s="308"/>
      <c r="D369" s="309"/>
      <c r="E369" s="309"/>
      <c r="F369" s="310"/>
      <c r="G369" s="338"/>
      <c r="H369" s="325"/>
      <c r="I369" s="319"/>
      <c r="J369" s="306"/>
    </row>
    <row r="370" spans="1:11" s="293" customFormat="1" ht="15.75" customHeight="1">
      <c r="A370" s="326"/>
      <c r="B370" s="308"/>
      <c r="C370" s="370" t="s">
        <v>278</v>
      </c>
      <c r="D370" s="413"/>
      <c r="E370" s="413"/>
      <c r="F370" s="327">
        <f>SUM(F362:F369)</f>
        <v>0</v>
      </c>
      <c r="G370" s="327">
        <f>SUM(G362:G369)</f>
        <v>0</v>
      </c>
      <c r="H370" s="353">
        <f>SUM(H361:H362)</f>
        <v>0</v>
      </c>
      <c r="I370" s="329">
        <f>SUM(G370:H370)</f>
        <v>0</v>
      </c>
      <c r="J370" s="327">
        <f>SUM(J362:J369)</f>
        <v>0</v>
      </c>
      <c r="K370" s="312">
        <f>SUM(G370:H370)</f>
        <v>0</v>
      </c>
    </row>
    <row r="371" spans="1:11" s="293" customFormat="1" ht="15" customHeight="1">
      <c r="A371" s="308"/>
      <c r="B371" s="308"/>
      <c r="C371" s="308"/>
      <c r="D371" s="412"/>
      <c r="E371" s="412"/>
      <c r="F371" s="338"/>
      <c r="G371" s="338"/>
      <c r="H371" s="325"/>
      <c r="I371" s="321"/>
      <c r="J371" s="321"/>
    </row>
    <row r="372" spans="1:11" s="293" customFormat="1" ht="15" customHeight="1">
      <c r="A372" s="308"/>
      <c r="B372" s="308"/>
      <c r="C372" s="326" t="s">
        <v>279</v>
      </c>
      <c r="D372" s="412"/>
      <c r="E372" s="412"/>
      <c r="F372" s="338"/>
      <c r="G372" s="338"/>
      <c r="H372" s="325"/>
      <c r="I372" s="321"/>
      <c r="J372" s="321"/>
    </row>
    <row r="373" spans="1:11" s="293" customFormat="1" ht="15" customHeight="1">
      <c r="A373" s="308"/>
      <c r="B373" s="308"/>
      <c r="C373" s="308"/>
      <c r="D373" s="412" t="s">
        <v>280</v>
      </c>
      <c r="E373" s="412"/>
      <c r="F373" s="386">
        <v>10000000</v>
      </c>
      <c r="G373" s="386">
        <v>10000000</v>
      </c>
      <c r="H373" s="339"/>
      <c r="I373" s="319">
        <f>SUM(G373:H373)</f>
        <v>10000000</v>
      </c>
      <c r="J373" s="319">
        <v>6651975</v>
      </c>
    </row>
    <row r="374" spans="1:11" s="293" customFormat="1" ht="15" customHeight="1">
      <c r="A374" s="308"/>
      <c r="B374" s="308"/>
      <c r="C374" s="308"/>
      <c r="D374" s="309" t="s">
        <v>281</v>
      </c>
      <c r="E374" s="309"/>
      <c r="F374" s="396">
        <v>28300000</v>
      </c>
      <c r="G374" s="396">
        <v>28300000</v>
      </c>
      <c r="H374" s="339"/>
      <c r="I374" s="319">
        <f>SUM(G374:H374)</f>
        <v>28300000</v>
      </c>
      <c r="J374" s="319">
        <v>26093101</v>
      </c>
    </row>
    <row r="375" spans="1:11" s="293" customFormat="1" ht="15" customHeight="1">
      <c r="A375" s="308"/>
      <c r="B375" s="308"/>
      <c r="C375" s="308"/>
      <c r="D375" s="412" t="s">
        <v>282</v>
      </c>
      <c r="E375" s="412"/>
      <c r="F375" s="386">
        <v>42000000</v>
      </c>
      <c r="G375" s="386">
        <v>42000000</v>
      </c>
      <c r="H375" s="339"/>
      <c r="I375" s="319">
        <v>49301641</v>
      </c>
      <c r="J375" s="319">
        <v>49301641</v>
      </c>
    </row>
    <row r="376" spans="1:11" s="293" customFormat="1" ht="8.25" customHeight="1">
      <c r="A376" s="308"/>
      <c r="B376" s="308"/>
      <c r="C376" s="308"/>
      <c r="D376" s="309"/>
      <c r="E376" s="309"/>
      <c r="F376" s="338"/>
      <c r="G376" s="338"/>
      <c r="H376" s="325"/>
      <c r="I376" s="319"/>
      <c r="J376" s="319"/>
    </row>
    <row r="377" spans="1:11" s="293" customFormat="1" ht="15" customHeight="1">
      <c r="A377" s="326"/>
      <c r="B377" s="308"/>
      <c r="C377" s="370" t="s">
        <v>283</v>
      </c>
      <c r="D377" s="413"/>
      <c r="E377" s="413"/>
      <c r="F377" s="327">
        <f>SUM(F373:F375)</f>
        <v>80300000</v>
      </c>
      <c r="G377" s="327">
        <f>SUM(G373:G376)</f>
        <v>80300000</v>
      </c>
      <c r="H377" s="353">
        <f>SUM(H373:H375)</f>
        <v>0</v>
      </c>
      <c r="I377" s="329">
        <f>SUM(I373:I375)</f>
        <v>87601641</v>
      </c>
      <c r="J377" s="329">
        <f>SUM(J373:J376)</f>
        <v>82046717</v>
      </c>
      <c r="K377" s="306">
        <f>SUM(J373:J373)</f>
        <v>6651975</v>
      </c>
    </row>
    <row r="378" spans="1:11" s="293" customFormat="1" ht="10.5" customHeight="1">
      <c r="D378" s="414"/>
      <c r="E378" s="414"/>
      <c r="F378" s="306"/>
      <c r="H378" s="297"/>
      <c r="I378" s="297"/>
      <c r="J378" s="415"/>
    </row>
    <row r="379" spans="1:11" s="308" customFormat="1" ht="16.5" customHeight="1">
      <c r="C379" s="344" t="s">
        <v>284</v>
      </c>
      <c r="D379" s="345"/>
      <c r="E379" s="345"/>
      <c r="F379" s="327">
        <f>SUM(F370+F377)</f>
        <v>80300000</v>
      </c>
      <c r="G379" s="327">
        <f>SUM(G370+G377)</f>
        <v>80300000</v>
      </c>
      <c r="H379" s="353">
        <f>SUM(H370+H377)</f>
        <v>0</v>
      </c>
      <c r="I379" s="329">
        <f>SUM(I370+I377)</f>
        <v>87601641</v>
      </c>
      <c r="J379" s="327">
        <f>SUM(J370+J377)</f>
        <v>82046717</v>
      </c>
      <c r="K379" s="312">
        <f>SUM(G379:H379)</f>
        <v>80300000</v>
      </c>
    </row>
    <row r="380" spans="1:11" s="293" customFormat="1" ht="15">
      <c r="D380" s="414"/>
      <c r="E380" s="414"/>
      <c r="F380" s="416"/>
      <c r="H380" s="297"/>
      <c r="I380" s="297"/>
      <c r="J380" s="306"/>
    </row>
    <row r="381" spans="1:11" s="293" customFormat="1" ht="15">
      <c r="D381" s="414"/>
      <c r="E381" s="414"/>
      <c r="F381" s="416"/>
      <c r="H381" s="297"/>
      <c r="I381" s="297"/>
      <c r="J381" s="306"/>
    </row>
    <row r="382" spans="1:11" s="293" customFormat="1" ht="15">
      <c r="D382" s="414"/>
      <c r="E382" s="414"/>
      <c r="F382" s="416"/>
      <c r="H382" s="297"/>
      <c r="I382" s="297"/>
      <c r="J382" s="306"/>
    </row>
    <row r="383" spans="1:11" s="293" customFormat="1" ht="15">
      <c r="D383" s="414"/>
      <c r="E383" s="414"/>
      <c r="F383" s="416"/>
      <c r="H383" s="297"/>
      <c r="I383" s="297"/>
      <c r="J383" s="306"/>
    </row>
    <row r="384" spans="1:11" s="293" customFormat="1" ht="15">
      <c r="D384" s="414"/>
      <c r="E384" s="414"/>
      <c r="F384" s="416"/>
      <c r="H384" s="297"/>
      <c r="I384" s="297"/>
      <c r="J384" s="306"/>
    </row>
    <row r="385" spans="4:10" s="293" customFormat="1" ht="15">
      <c r="D385" s="414"/>
      <c r="E385" s="414"/>
      <c r="F385" s="416"/>
      <c r="H385" s="297"/>
      <c r="I385" s="297"/>
      <c r="J385" s="306"/>
    </row>
    <row r="386" spans="4:10" s="293" customFormat="1" ht="15">
      <c r="D386" s="414"/>
      <c r="E386" s="414"/>
      <c r="F386" s="416"/>
      <c r="H386" s="297"/>
      <c r="I386" s="297"/>
      <c r="J386" s="306"/>
    </row>
    <row r="387" spans="4:10" s="293" customFormat="1" ht="15">
      <c r="D387" s="414"/>
      <c r="E387" s="414"/>
      <c r="F387" s="416"/>
      <c r="H387" s="297"/>
      <c r="I387" s="297"/>
      <c r="J387" s="306"/>
    </row>
    <row r="388" spans="4:10" s="293" customFormat="1" ht="15">
      <c r="D388" s="414"/>
      <c r="E388" s="414"/>
      <c r="F388" s="416"/>
      <c r="H388" s="297"/>
      <c r="I388" s="297"/>
      <c r="J388" s="306"/>
    </row>
    <row r="389" spans="4:10" s="293" customFormat="1" ht="15">
      <c r="D389" s="414"/>
      <c r="E389" s="414"/>
      <c r="F389" s="416"/>
      <c r="H389" s="297"/>
      <c r="I389" s="297"/>
      <c r="J389" s="306"/>
    </row>
    <row r="390" spans="4:10" s="293" customFormat="1" ht="15">
      <c r="D390" s="414"/>
      <c r="E390" s="414"/>
      <c r="F390" s="416"/>
      <c r="H390" s="297"/>
      <c r="I390" s="297"/>
      <c r="J390" s="306"/>
    </row>
    <row r="391" spans="4:10" s="293" customFormat="1" ht="15">
      <c r="D391" s="414"/>
      <c r="E391" s="414"/>
      <c r="F391" s="416"/>
      <c r="H391" s="297"/>
      <c r="I391" s="297"/>
      <c r="J391" s="306"/>
    </row>
    <row r="392" spans="4:10" s="293" customFormat="1" ht="15">
      <c r="D392" s="414"/>
      <c r="E392" s="414"/>
      <c r="F392" s="416"/>
      <c r="H392" s="297"/>
      <c r="I392" s="297"/>
      <c r="J392" s="306"/>
    </row>
    <row r="393" spans="4:10" s="293" customFormat="1" ht="15">
      <c r="D393" s="414"/>
      <c r="E393" s="414"/>
      <c r="F393" s="416"/>
      <c r="H393" s="297"/>
      <c r="I393" s="297"/>
      <c r="J393" s="306"/>
    </row>
    <row r="394" spans="4:10" s="293" customFormat="1" ht="15">
      <c r="D394" s="414"/>
      <c r="E394" s="414"/>
      <c r="F394" s="416"/>
      <c r="H394" s="297"/>
      <c r="I394" s="297"/>
      <c r="J394" s="306"/>
    </row>
    <row r="395" spans="4:10" s="293" customFormat="1" ht="15">
      <c r="D395" s="414"/>
      <c r="E395" s="414"/>
      <c r="F395" s="416"/>
      <c r="H395" s="297"/>
      <c r="I395" s="297"/>
      <c r="J395" s="306"/>
    </row>
    <row r="396" spans="4:10" s="293" customFormat="1" ht="15">
      <c r="D396" s="414"/>
      <c r="E396" s="414"/>
      <c r="F396" s="416"/>
      <c r="H396" s="297"/>
      <c r="I396" s="297"/>
      <c r="J396" s="306"/>
    </row>
    <row r="397" spans="4:10" s="293" customFormat="1" ht="15">
      <c r="D397" s="414"/>
      <c r="E397" s="414"/>
      <c r="F397" s="416"/>
      <c r="H397" s="297"/>
      <c r="I397" s="297"/>
      <c r="J397" s="306"/>
    </row>
    <row r="398" spans="4:10" s="293" customFormat="1" ht="15">
      <c r="D398" s="414"/>
      <c r="E398" s="414"/>
      <c r="F398" s="416"/>
      <c r="H398" s="297"/>
      <c r="I398" s="297"/>
      <c r="J398" s="306"/>
    </row>
    <row r="399" spans="4:10" s="293" customFormat="1" ht="15">
      <c r="D399" s="414"/>
      <c r="E399" s="414"/>
      <c r="F399" s="416"/>
      <c r="H399" s="297"/>
      <c r="I399" s="297"/>
      <c r="J399" s="306"/>
    </row>
    <row r="400" spans="4:10" s="293" customFormat="1" ht="15">
      <c r="D400" s="414"/>
      <c r="E400" s="414"/>
      <c r="F400" s="416"/>
      <c r="H400" s="297"/>
      <c r="I400" s="297"/>
      <c r="J400" s="306"/>
    </row>
    <row r="401" spans="4:10" s="293" customFormat="1" ht="15">
      <c r="D401" s="414"/>
      <c r="E401" s="414"/>
      <c r="F401" s="416"/>
      <c r="H401" s="297"/>
      <c r="I401" s="297"/>
      <c r="J401" s="306"/>
    </row>
    <row r="402" spans="4:10" s="293" customFormat="1" ht="15">
      <c r="D402" s="414"/>
      <c r="E402" s="414"/>
      <c r="F402" s="416"/>
      <c r="H402" s="297"/>
      <c r="I402" s="297"/>
      <c r="J402" s="306"/>
    </row>
    <row r="403" spans="4:10" s="293" customFormat="1" ht="15">
      <c r="D403" s="414"/>
      <c r="E403" s="414"/>
      <c r="F403" s="416"/>
      <c r="H403" s="297"/>
      <c r="I403" s="297"/>
      <c r="J403" s="306"/>
    </row>
    <row r="404" spans="4:10" s="293" customFormat="1" ht="15">
      <c r="D404" s="414"/>
      <c r="E404" s="414"/>
      <c r="F404" s="416"/>
      <c r="H404" s="297"/>
      <c r="I404" s="297"/>
      <c r="J404" s="306"/>
    </row>
    <row r="405" spans="4:10" s="293" customFormat="1" ht="15">
      <c r="D405" s="414"/>
      <c r="E405" s="414"/>
      <c r="F405" s="416"/>
      <c r="H405" s="297"/>
      <c r="I405" s="297"/>
      <c r="J405" s="306"/>
    </row>
    <row r="406" spans="4:10" s="293" customFormat="1" ht="15">
      <c r="D406" s="414"/>
      <c r="E406" s="414"/>
      <c r="F406" s="416"/>
      <c r="H406" s="297"/>
      <c r="I406" s="297"/>
      <c r="J406" s="306"/>
    </row>
    <row r="407" spans="4:10" s="293" customFormat="1" ht="15">
      <c r="D407" s="414"/>
      <c r="E407" s="414"/>
      <c r="F407" s="416"/>
      <c r="H407" s="297"/>
      <c r="I407" s="297"/>
      <c r="J407" s="306"/>
    </row>
    <row r="408" spans="4:10" s="293" customFormat="1" ht="15">
      <c r="D408" s="414"/>
      <c r="E408" s="414"/>
      <c r="F408" s="416"/>
      <c r="H408" s="297"/>
      <c r="I408" s="297"/>
      <c r="J408" s="306"/>
    </row>
    <row r="409" spans="4:10" s="293" customFormat="1" ht="15">
      <c r="D409" s="414"/>
      <c r="E409" s="414"/>
      <c r="F409" s="416"/>
      <c r="H409" s="297"/>
      <c r="I409" s="297"/>
      <c r="J409" s="306"/>
    </row>
    <row r="410" spans="4:10" s="293" customFormat="1" ht="15">
      <c r="D410" s="414"/>
      <c r="E410" s="414"/>
      <c r="F410" s="416"/>
      <c r="H410" s="297"/>
      <c r="I410" s="297"/>
      <c r="J410" s="306"/>
    </row>
    <row r="411" spans="4:10" s="293" customFormat="1" ht="15">
      <c r="D411" s="414"/>
      <c r="E411" s="414"/>
      <c r="F411" s="416"/>
      <c r="H411" s="297"/>
      <c r="I411" s="297"/>
      <c r="J411" s="306"/>
    </row>
    <row r="412" spans="4:10" s="293" customFormat="1" ht="15">
      <c r="D412" s="414"/>
      <c r="E412" s="414"/>
      <c r="F412" s="416"/>
      <c r="H412" s="297"/>
      <c r="I412" s="297"/>
      <c r="J412" s="306"/>
    </row>
    <row r="413" spans="4:10" s="293" customFormat="1" ht="15">
      <c r="D413" s="414"/>
      <c r="E413" s="414"/>
      <c r="F413" s="416"/>
      <c r="H413" s="297"/>
      <c r="I413" s="297"/>
      <c r="J413" s="306"/>
    </row>
    <row r="414" spans="4:10" s="293" customFormat="1" ht="15">
      <c r="D414" s="414"/>
      <c r="E414" s="414"/>
      <c r="F414" s="416"/>
      <c r="H414" s="297"/>
      <c r="I414" s="297"/>
      <c r="J414" s="306"/>
    </row>
    <row r="415" spans="4:10" s="293" customFormat="1" ht="15">
      <c r="D415" s="414"/>
      <c r="E415" s="414"/>
      <c r="F415" s="416"/>
      <c r="H415" s="297"/>
      <c r="I415" s="297"/>
      <c r="J415" s="306"/>
    </row>
    <row r="416" spans="4:10" s="293" customFormat="1" ht="15">
      <c r="D416" s="414"/>
      <c r="E416" s="414"/>
      <c r="F416" s="416"/>
      <c r="H416" s="297"/>
      <c r="I416" s="297"/>
      <c r="J416" s="306"/>
    </row>
    <row r="417" spans="4:10" s="293" customFormat="1" ht="15">
      <c r="D417" s="414"/>
      <c r="E417" s="414"/>
      <c r="F417" s="416"/>
      <c r="H417" s="297"/>
      <c r="I417" s="297"/>
      <c r="J417" s="306"/>
    </row>
    <row r="418" spans="4:10" s="293" customFormat="1" ht="15">
      <c r="D418" s="414"/>
      <c r="E418" s="414"/>
      <c r="F418" s="416"/>
      <c r="H418" s="297"/>
      <c r="I418" s="297"/>
      <c r="J418" s="306"/>
    </row>
    <row r="419" spans="4:10" s="293" customFormat="1" ht="15">
      <c r="D419" s="414"/>
      <c r="E419" s="414"/>
      <c r="F419" s="416"/>
      <c r="H419" s="297"/>
      <c r="I419" s="297"/>
      <c r="J419" s="306"/>
    </row>
    <row r="420" spans="4:10" s="293" customFormat="1" ht="15">
      <c r="D420" s="414"/>
      <c r="E420" s="414"/>
      <c r="F420" s="416"/>
      <c r="H420" s="297"/>
      <c r="I420" s="297"/>
      <c r="J420" s="306"/>
    </row>
    <row r="421" spans="4:10" s="293" customFormat="1" ht="15">
      <c r="D421" s="414"/>
      <c r="E421" s="414"/>
      <c r="F421" s="416"/>
      <c r="H421" s="297"/>
      <c r="I421" s="297"/>
      <c r="J421" s="306"/>
    </row>
    <row r="422" spans="4:10" s="293" customFormat="1" ht="15">
      <c r="D422" s="414"/>
      <c r="E422" s="414"/>
      <c r="F422" s="416"/>
      <c r="H422" s="297"/>
      <c r="I422" s="297"/>
      <c r="J422" s="306"/>
    </row>
    <row r="423" spans="4:10" s="293" customFormat="1" ht="15">
      <c r="D423" s="414"/>
      <c r="E423" s="414"/>
      <c r="F423" s="416"/>
      <c r="H423" s="297"/>
      <c r="I423" s="297"/>
      <c r="J423" s="306"/>
    </row>
    <row r="424" spans="4:10" s="293" customFormat="1" ht="15">
      <c r="D424" s="414"/>
      <c r="E424" s="414"/>
      <c r="F424" s="416"/>
      <c r="H424" s="297"/>
      <c r="I424" s="297"/>
      <c r="J424" s="306"/>
    </row>
    <row r="425" spans="4:10" s="293" customFormat="1" ht="15">
      <c r="D425" s="414"/>
      <c r="E425" s="414"/>
      <c r="F425" s="416"/>
      <c r="H425" s="297"/>
      <c r="I425" s="297"/>
      <c r="J425" s="306"/>
    </row>
    <row r="426" spans="4:10" s="293" customFormat="1" ht="15">
      <c r="D426" s="414"/>
      <c r="E426" s="414"/>
      <c r="F426" s="416"/>
      <c r="H426" s="297"/>
      <c r="I426" s="297"/>
      <c r="J426" s="306"/>
    </row>
    <row r="427" spans="4:10" s="293" customFormat="1" ht="15">
      <c r="D427" s="414"/>
      <c r="E427" s="414"/>
      <c r="F427" s="416"/>
      <c r="H427" s="297"/>
      <c r="I427" s="297"/>
      <c r="J427" s="306"/>
    </row>
    <row r="428" spans="4:10" s="293" customFormat="1" ht="15">
      <c r="D428" s="414"/>
      <c r="E428" s="414"/>
      <c r="F428" s="416"/>
      <c r="H428" s="297"/>
      <c r="I428" s="297"/>
      <c r="J428" s="306"/>
    </row>
    <row r="429" spans="4:10" s="293" customFormat="1" ht="15">
      <c r="D429" s="414"/>
      <c r="E429" s="414"/>
      <c r="F429" s="416"/>
      <c r="H429" s="297"/>
      <c r="I429" s="297"/>
      <c r="J429" s="306"/>
    </row>
    <row r="430" spans="4:10" s="293" customFormat="1" ht="15">
      <c r="D430" s="414"/>
      <c r="E430" s="414"/>
      <c r="F430" s="416"/>
      <c r="H430" s="297"/>
      <c r="I430" s="297"/>
      <c r="J430" s="306"/>
    </row>
    <row r="431" spans="4:10" s="293" customFormat="1" ht="15">
      <c r="D431" s="414"/>
      <c r="E431" s="414"/>
      <c r="F431" s="416"/>
      <c r="H431" s="297"/>
      <c r="I431" s="297"/>
      <c r="J431" s="306"/>
    </row>
    <row r="432" spans="4:10" s="293" customFormat="1" ht="15">
      <c r="D432" s="414"/>
      <c r="E432" s="414"/>
      <c r="F432" s="416"/>
      <c r="H432" s="297"/>
      <c r="I432" s="297"/>
      <c r="J432" s="306"/>
    </row>
    <row r="433" spans="4:10" s="293" customFormat="1" ht="15">
      <c r="D433" s="414"/>
      <c r="E433" s="414"/>
      <c r="F433" s="416"/>
      <c r="H433" s="297"/>
      <c r="I433" s="297"/>
      <c r="J433" s="306"/>
    </row>
    <row r="434" spans="4:10" s="293" customFormat="1" ht="15">
      <c r="D434" s="414"/>
      <c r="E434" s="414"/>
      <c r="F434" s="416"/>
      <c r="H434" s="297"/>
      <c r="I434" s="297"/>
      <c r="J434" s="306"/>
    </row>
    <row r="435" spans="4:10" s="293" customFormat="1" ht="15">
      <c r="D435" s="414"/>
      <c r="E435" s="414"/>
      <c r="F435" s="416"/>
      <c r="H435" s="297"/>
      <c r="I435" s="297"/>
      <c r="J435" s="306"/>
    </row>
    <row r="436" spans="4:10" s="293" customFormat="1" ht="15">
      <c r="D436" s="414"/>
      <c r="E436" s="414"/>
      <c r="F436" s="416"/>
      <c r="H436" s="297"/>
      <c r="I436" s="297"/>
      <c r="J436" s="306"/>
    </row>
    <row r="437" spans="4:10" s="293" customFormat="1" ht="15">
      <c r="D437" s="414"/>
      <c r="E437" s="414"/>
      <c r="F437" s="416"/>
      <c r="H437" s="297"/>
      <c r="I437" s="297"/>
      <c r="J437" s="306"/>
    </row>
    <row r="438" spans="4:10" s="293" customFormat="1" ht="15">
      <c r="D438" s="414"/>
      <c r="E438" s="414"/>
      <c r="F438" s="416"/>
      <c r="H438" s="297"/>
      <c r="I438" s="297"/>
      <c r="J438" s="306"/>
    </row>
    <row r="439" spans="4:10" s="293" customFormat="1" ht="15">
      <c r="D439" s="414"/>
      <c r="E439" s="414"/>
      <c r="F439" s="416"/>
      <c r="H439" s="297"/>
      <c r="I439" s="297"/>
      <c r="J439" s="306"/>
    </row>
    <row r="440" spans="4:10" s="293" customFormat="1" ht="15">
      <c r="D440" s="414"/>
      <c r="E440" s="414"/>
      <c r="F440" s="416"/>
      <c r="H440" s="297"/>
      <c r="I440" s="297"/>
      <c r="J440" s="306"/>
    </row>
    <row r="441" spans="4:10" s="293" customFormat="1" ht="15">
      <c r="D441" s="414"/>
      <c r="E441" s="414"/>
      <c r="F441" s="416"/>
      <c r="H441" s="297"/>
      <c r="I441" s="297"/>
      <c r="J441" s="306"/>
    </row>
    <row r="442" spans="4:10" s="293" customFormat="1" ht="15">
      <c r="D442" s="414"/>
      <c r="E442" s="414"/>
      <c r="F442" s="416"/>
      <c r="H442" s="297"/>
      <c r="I442" s="297"/>
      <c r="J442" s="306"/>
    </row>
    <row r="443" spans="4:10" s="293" customFormat="1" ht="15">
      <c r="D443" s="414"/>
      <c r="E443" s="414"/>
      <c r="F443" s="416"/>
      <c r="H443" s="297"/>
      <c r="I443" s="297"/>
      <c r="J443" s="306"/>
    </row>
    <row r="444" spans="4:10" s="293" customFormat="1" ht="15">
      <c r="D444" s="414"/>
      <c r="E444" s="414"/>
      <c r="F444" s="416"/>
      <c r="H444" s="297"/>
      <c r="I444" s="297"/>
      <c r="J444" s="306"/>
    </row>
    <row r="445" spans="4:10" s="293" customFormat="1" ht="15">
      <c r="D445" s="414"/>
      <c r="E445" s="414"/>
      <c r="F445" s="416"/>
      <c r="H445" s="297"/>
      <c r="I445" s="297"/>
      <c r="J445" s="306"/>
    </row>
    <row r="446" spans="4:10" s="293" customFormat="1" ht="15">
      <c r="D446" s="414"/>
      <c r="E446" s="414"/>
      <c r="F446" s="416"/>
      <c r="H446" s="297"/>
      <c r="I446" s="297"/>
      <c r="J446" s="306"/>
    </row>
    <row r="447" spans="4:10" s="293" customFormat="1" ht="15">
      <c r="D447" s="414"/>
      <c r="E447" s="414"/>
      <c r="F447" s="416"/>
      <c r="H447" s="297"/>
      <c r="I447" s="297"/>
      <c r="J447" s="306"/>
    </row>
    <row r="448" spans="4:10" s="110" customFormat="1" ht="15.75">
      <c r="D448" s="417"/>
      <c r="E448" s="417"/>
      <c r="F448" s="418"/>
      <c r="H448" s="15"/>
      <c r="I448" s="15"/>
      <c r="J448" s="286"/>
    </row>
    <row r="449" spans="4:10" s="110" customFormat="1" ht="15.75">
      <c r="D449" s="417"/>
      <c r="E449" s="417"/>
      <c r="F449" s="418"/>
      <c r="H449" s="15"/>
      <c r="I449" s="15"/>
      <c r="J449" s="286"/>
    </row>
    <row r="450" spans="4:10" s="110" customFormat="1" ht="15.75">
      <c r="D450" s="417"/>
      <c r="E450" s="417"/>
      <c r="F450" s="418"/>
      <c r="H450" s="15"/>
      <c r="I450" s="15"/>
      <c r="J450" s="286"/>
    </row>
    <row r="451" spans="4:10" s="110" customFormat="1" ht="15.75">
      <c r="D451" s="417"/>
      <c r="E451" s="417"/>
      <c r="F451" s="418"/>
      <c r="H451" s="15"/>
      <c r="I451" s="15"/>
      <c r="J451" s="286"/>
    </row>
    <row r="452" spans="4:10" s="110" customFormat="1" ht="15.75">
      <c r="D452" s="417"/>
      <c r="E452" s="417"/>
      <c r="F452" s="418"/>
      <c r="H452" s="15"/>
      <c r="I452" s="15"/>
      <c r="J452" s="286"/>
    </row>
    <row r="453" spans="4:10" s="110" customFormat="1" ht="15.75">
      <c r="D453" s="417"/>
      <c r="E453" s="417"/>
      <c r="F453" s="418"/>
      <c r="H453" s="15"/>
      <c r="I453" s="15"/>
      <c r="J453" s="286"/>
    </row>
    <row r="454" spans="4:10" s="110" customFormat="1" ht="15.75">
      <c r="D454" s="417"/>
      <c r="E454" s="417"/>
      <c r="F454" s="418"/>
      <c r="H454" s="15"/>
      <c r="I454" s="15"/>
      <c r="J454" s="286"/>
    </row>
    <row r="455" spans="4:10" s="110" customFormat="1" ht="15.75">
      <c r="D455" s="417"/>
      <c r="E455" s="417"/>
      <c r="F455" s="418"/>
      <c r="H455" s="15"/>
      <c r="I455" s="15"/>
      <c r="J455" s="286"/>
    </row>
    <row r="456" spans="4:10" s="110" customFormat="1" ht="15.75">
      <c r="D456" s="417"/>
      <c r="E456" s="417"/>
      <c r="F456" s="418"/>
      <c r="H456" s="15"/>
      <c r="I456" s="15"/>
      <c r="J456" s="286"/>
    </row>
    <row r="457" spans="4:10" s="110" customFormat="1" ht="15.75">
      <c r="D457" s="417"/>
      <c r="E457" s="417"/>
      <c r="F457" s="418"/>
      <c r="H457" s="15"/>
      <c r="I457" s="15"/>
      <c r="J457" s="286"/>
    </row>
    <row r="458" spans="4:10" s="110" customFormat="1" ht="15.75">
      <c r="D458" s="417"/>
      <c r="E458" s="417"/>
      <c r="F458" s="418"/>
      <c r="H458" s="15"/>
      <c r="I458" s="15"/>
      <c r="J458" s="286"/>
    </row>
    <row r="459" spans="4:10" s="110" customFormat="1" ht="15.75">
      <c r="D459" s="417"/>
      <c r="E459" s="417"/>
      <c r="F459" s="418"/>
      <c r="H459" s="15"/>
      <c r="I459" s="15"/>
      <c r="J459" s="286"/>
    </row>
    <row r="460" spans="4:10" s="110" customFormat="1" ht="15.75">
      <c r="D460" s="417"/>
      <c r="E460" s="417"/>
      <c r="F460" s="418"/>
      <c r="H460" s="15"/>
      <c r="I460" s="15"/>
      <c r="J460" s="286"/>
    </row>
    <row r="461" spans="4:10" s="110" customFormat="1" ht="15.75">
      <c r="D461" s="417"/>
      <c r="E461" s="417"/>
      <c r="F461" s="418"/>
      <c r="H461" s="15"/>
      <c r="I461" s="15"/>
      <c r="J461" s="286"/>
    </row>
    <row r="462" spans="4:10" s="110" customFormat="1" ht="15.75">
      <c r="D462" s="417"/>
      <c r="E462" s="417"/>
      <c r="F462" s="418"/>
      <c r="H462" s="15"/>
      <c r="I462" s="15"/>
      <c r="J462" s="286"/>
    </row>
    <row r="463" spans="4:10" s="110" customFormat="1" ht="15.75">
      <c r="D463" s="417"/>
      <c r="E463" s="417"/>
      <c r="F463" s="418"/>
      <c r="H463" s="15"/>
      <c r="I463" s="15"/>
      <c r="J463" s="286"/>
    </row>
    <row r="464" spans="4:10" s="110" customFormat="1" ht="15.75">
      <c r="D464" s="417"/>
      <c r="E464" s="417"/>
      <c r="F464" s="418"/>
      <c r="H464" s="15"/>
      <c r="I464" s="15"/>
      <c r="J464" s="286"/>
    </row>
    <row r="465" spans="4:10" s="110" customFormat="1" ht="15.75">
      <c r="D465" s="417"/>
      <c r="E465" s="417"/>
      <c r="F465" s="418"/>
      <c r="H465" s="15"/>
      <c r="I465" s="15"/>
      <c r="J465" s="286"/>
    </row>
    <row r="466" spans="4:10" s="110" customFormat="1" ht="15.75">
      <c r="D466" s="417"/>
      <c r="E466" s="417"/>
      <c r="F466" s="418"/>
      <c r="H466" s="15"/>
      <c r="I466" s="15"/>
      <c r="J466" s="286"/>
    </row>
    <row r="467" spans="4:10" s="110" customFormat="1" ht="15.75">
      <c r="D467" s="417"/>
      <c r="E467" s="417"/>
      <c r="F467" s="418"/>
      <c r="H467" s="15"/>
      <c r="I467" s="15"/>
      <c r="J467" s="286"/>
    </row>
    <row r="468" spans="4:10" s="110" customFormat="1" ht="15.75">
      <c r="D468" s="417"/>
      <c r="E468" s="417"/>
      <c r="F468" s="418"/>
      <c r="H468" s="15"/>
      <c r="I468" s="15"/>
      <c r="J468" s="286"/>
    </row>
    <row r="469" spans="4:10" s="110" customFormat="1" ht="15.75">
      <c r="D469" s="417"/>
      <c r="E469" s="417"/>
      <c r="F469" s="418"/>
      <c r="H469" s="15"/>
      <c r="I469" s="15"/>
      <c r="J469" s="286"/>
    </row>
    <row r="470" spans="4:10" s="110" customFormat="1" ht="15.75">
      <c r="D470" s="417"/>
      <c r="E470" s="417"/>
      <c r="F470" s="418"/>
      <c r="H470" s="15"/>
      <c r="I470" s="15"/>
      <c r="J470" s="286"/>
    </row>
    <row r="471" spans="4:10" s="110" customFormat="1" ht="15.75">
      <c r="D471" s="417"/>
      <c r="E471" s="417"/>
      <c r="F471" s="418"/>
      <c r="H471" s="15"/>
      <c r="I471" s="15"/>
      <c r="J471" s="286"/>
    </row>
    <row r="472" spans="4:10" s="110" customFormat="1" ht="15.75">
      <c r="D472" s="417"/>
      <c r="E472" s="417"/>
      <c r="F472" s="418"/>
      <c r="H472" s="15"/>
      <c r="I472" s="15"/>
      <c r="J472" s="286"/>
    </row>
    <row r="473" spans="4:10" s="110" customFormat="1" ht="15.75">
      <c r="D473" s="417"/>
      <c r="E473" s="417"/>
      <c r="F473" s="418"/>
      <c r="H473" s="15"/>
      <c r="I473" s="15"/>
      <c r="J473" s="286"/>
    </row>
    <row r="474" spans="4:10" s="110" customFormat="1" ht="15.75">
      <c r="D474" s="417"/>
      <c r="E474" s="417"/>
      <c r="F474" s="418"/>
      <c r="H474" s="15"/>
      <c r="I474" s="15"/>
      <c r="J474" s="286"/>
    </row>
    <row r="475" spans="4:10" s="110" customFormat="1" ht="15.75">
      <c r="D475" s="417"/>
      <c r="E475" s="417"/>
      <c r="F475" s="418"/>
      <c r="H475" s="15"/>
      <c r="I475" s="15"/>
      <c r="J475" s="286"/>
    </row>
    <row r="476" spans="4:10" s="110" customFormat="1" ht="15.75">
      <c r="D476" s="417"/>
      <c r="E476" s="417"/>
      <c r="F476" s="418"/>
      <c r="H476" s="15"/>
      <c r="I476" s="15"/>
      <c r="J476" s="286"/>
    </row>
    <row r="477" spans="4:10" s="110" customFormat="1" ht="15.75">
      <c r="D477" s="417"/>
      <c r="E477" s="417"/>
      <c r="F477" s="418"/>
      <c r="H477" s="15"/>
      <c r="I477" s="15"/>
      <c r="J477" s="286"/>
    </row>
    <row r="478" spans="4:10" s="110" customFormat="1" ht="15.75">
      <c r="D478" s="417"/>
      <c r="E478" s="417"/>
      <c r="F478" s="418"/>
      <c r="H478" s="15"/>
      <c r="I478" s="15"/>
      <c r="J478" s="286"/>
    </row>
    <row r="479" spans="4:10" s="110" customFormat="1" ht="15.75">
      <c r="D479" s="417"/>
      <c r="E479" s="417"/>
      <c r="F479" s="418"/>
      <c r="H479" s="15"/>
      <c r="I479" s="15"/>
      <c r="J479" s="286"/>
    </row>
    <row r="480" spans="4:10" s="110" customFormat="1" ht="15.75">
      <c r="D480" s="417"/>
      <c r="E480" s="417"/>
      <c r="F480" s="418"/>
      <c r="H480" s="15"/>
      <c r="I480" s="15"/>
      <c r="J480" s="286"/>
    </row>
    <row r="481" spans="4:10" s="110" customFormat="1" ht="15.75">
      <c r="D481" s="417"/>
      <c r="E481" s="417"/>
      <c r="F481" s="418"/>
      <c r="H481" s="15"/>
      <c r="I481" s="15"/>
      <c r="J481" s="286"/>
    </row>
    <row r="482" spans="4:10" s="110" customFormat="1" ht="15.75">
      <c r="D482" s="417"/>
      <c r="E482" s="417"/>
      <c r="F482" s="418"/>
      <c r="H482" s="15"/>
      <c r="I482" s="15"/>
      <c r="J482" s="286"/>
    </row>
    <row r="483" spans="4:10" s="110" customFormat="1" ht="15.75">
      <c r="D483" s="417"/>
      <c r="E483" s="417"/>
      <c r="F483" s="418"/>
      <c r="H483" s="15"/>
      <c r="I483" s="15"/>
      <c r="J483" s="286"/>
    </row>
    <row r="484" spans="4:10" s="110" customFormat="1" ht="15.75">
      <c r="D484" s="417"/>
      <c r="E484" s="417"/>
      <c r="F484" s="418"/>
      <c r="H484" s="15"/>
      <c r="I484" s="15"/>
      <c r="J484" s="286"/>
    </row>
    <row r="485" spans="4:10" s="110" customFormat="1" ht="15.75">
      <c r="D485" s="417"/>
      <c r="E485" s="417"/>
      <c r="F485" s="418"/>
      <c r="H485" s="15"/>
      <c r="I485" s="15"/>
      <c r="J485" s="286"/>
    </row>
    <row r="486" spans="4:10" s="110" customFormat="1" ht="15.75">
      <c r="D486" s="417"/>
      <c r="E486" s="417"/>
      <c r="F486" s="418"/>
      <c r="H486" s="15"/>
      <c r="I486" s="15"/>
      <c r="J486" s="286"/>
    </row>
    <row r="487" spans="4:10" s="110" customFormat="1" ht="15.75">
      <c r="D487" s="417"/>
      <c r="E487" s="417"/>
      <c r="F487" s="418"/>
      <c r="H487" s="15"/>
      <c r="I487" s="15"/>
      <c r="J487" s="286"/>
    </row>
    <row r="488" spans="4:10" s="110" customFormat="1" ht="15.75">
      <c r="D488" s="417"/>
      <c r="E488" s="417"/>
      <c r="F488" s="418"/>
      <c r="H488" s="15"/>
      <c r="I488" s="15"/>
      <c r="J488" s="286"/>
    </row>
    <row r="489" spans="4:10" s="110" customFormat="1" ht="15.75">
      <c r="D489" s="417"/>
      <c r="E489" s="417"/>
      <c r="F489" s="418"/>
      <c r="H489" s="15"/>
      <c r="I489" s="15"/>
      <c r="J489" s="286"/>
    </row>
    <row r="490" spans="4:10" s="110" customFormat="1" ht="15.75">
      <c r="D490" s="417"/>
      <c r="E490" s="417"/>
      <c r="F490" s="418"/>
      <c r="H490" s="15"/>
      <c r="I490" s="15"/>
      <c r="J490" s="286"/>
    </row>
    <row r="491" spans="4:10" s="110" customFormat="1" ht="15.75">
      <c r="D491" s="417"/>
      <c r="E491" s="417"/>
      <c r="F491" s="418"/>
      <c r="H491" s="15"/>
      <c r="I491" s="15"/>
      <c r="J491" s="286"/>
    </row>
    <row r="492" spans="4:10" s="110" customFormat="1" ht="15.75">
      <c r="D492" s="417"/>
      <c r="E492" s="417"/>
      <c r="F492" s="418"/>
      <c r="H492" s="15"/>
      <c r="I492" s="15"/>
      <c r="J492" s="286"/>
    </row>
    <row r="493" spans="4:10" s="110" customFormat="1" ht="15.75">
      <c r="D493" s="417"/>
      <c r="E493" s="417"/>
      <c r="F493" s="418"/>
      <c r="H493" s="15"/>
      <c r="I493" s="15"/>
      <c r="J493" s="286"/>
    </row>
    <row r="494" spans="4:10" s="110" customFormat="1" ht="15.75">
      <c r="D494" s="417"/>
      <c r="E494" s="417"/>
      <c r="F494" s="418"/>
      <c r="H494" s="15"/>
      <c r="I494" s="15"/>
      <c r="J494" s="286"/>
    </row>
    <row r="495" spans="4:10" s="110" customFormat="1" ht="15.75">
      <c r="D495" s="417"/>
      <c r="E495" s="417"/>
      <c r="F495" s="418"/>
      <c r="H495" s="15"/>
      <c r="I495" s="15"/>
      <c r="J495" s="286"/>
    </row>
    <row r="496" spans="4:10" s="110" customFormat="1" ht="15.75">
      <c r="D496" s="417"/>
      <c r="E496" s="417"/>
      <c r="F496" s="418"/>
      <c r="H496" s="15"/>
      <c r="I496" s="15"/>
      <c r="J496" s="286"/>
    </row>
    <row r="497" spans="4:10" s="110" customFormat="1" ht="15.75">
      <c r="D497" s="417"/>
      <c r="E497" s="417"/>
      <c r="F497" s="418"/>
      <c r="H497" s="15"/>
      <c r="I497" s="15"/>
      <c r="J497" s="286"/>
    </row>
    <row r="498" spans="4:10" s="110" customFormat="1" ht="15.75">
      <c r="D498" s="417"/>
      <c r="E498" s="417"/>
      <c r="F498" s="418"/>
      <c r="H498" s="15"/>
      <c r="I498" s="15"/>
      <c r="J498" s="286"/>
    </row>
    <row r="499" spans="4:10" s="110" customFormat="1" ht="15.75">
      <c r="D499" s="417"/>
      <c r="E499" s="417"/>
      <c r="F499" s="418"/>
      <c r="H499" s="15"/>
      <c r="I499" s="15"/>
      <c r="J499" s="286"/>
    </row>
    <row r="500" spans="4:10" s="110" customFormat="1" ht="15.75">
      <c r="D500" s="417"/>
      <c r="E500" s="417"/>
      <c r="F500" s="418"/>
      <c r="H500" s="15"/>
      <c r="I500" s="15"/>
      <c r="J500" s="286"/>
    </row>
    <row r="501" spans="4:10" s="110" customFormat="1" ht="15.75">
      <c r="D501" s="417"/>
      <c r="E501" s="417"/>
      <c r="F501" s="418"/>
      <c r="H501" s="15"/>
      <c r="I501" s="15"/>
      <c r="J501" s="286"/>
    </row>
    <row r="502" spans="4:10" s="110" customFormat="1" ht="15.75">
      <c r="D502" s="417"/>
      <c r="E502" s="417"/>
      <c r="F502" s="418"/>
      <c r="H502" s="15"/>
      <c r="I502" s="15"/>
      <c r="J502" s="286"/>
    </row>
    <row r="503" spans="4:10" s="110" customFormat="1" ht="15.75">
      <c r="D503" s="417"/>
      <c r="E503" s="417"/>
      <c r="F503" s="418"/>
      <c r="H503" s="15"/>
      <c r="I503" s="15"/>
      <c r="J503" s="286"/>
    </row>
    <row r="504" spans="4:10" s="110" customFormat="1" ht="15.75">
      <c r="D504" s="417"/>
      <c r="E504" s="417"/>
      <c r="F504" s="418"/>
      <c r="H504" s="15"/>
      <c r="I504" s="15"/>
      <c r="J504" s="286"/>
    </row>
    <row r="505" spans="4:10" s="110" customFormat="1" ht="15.75">
      <c r="D505" s="417"/>
      <c r="E505" s="417"/>
      <c r="F505" s="418"/>
      <c r="H505" s="15"/>
      <c r="I505" s="15"/>
      <c r="J505" s="286"/>
    </row>
    <row r="506" spans="4:10" s="110" customFormat="1" ht="15.75">
      <c r="D506" s="417"/>
      <c r="E506" s="417"/>
      <c r="F506" s="418"/>
      <c r="H506" s="15"/>
      <c r="I506" s="15"/>
      <c r="J506" s="286"/>
    </row>
    <row r="507" spans="4:10" s="110" customFormat="1" ht="15.75">
      <c r="D507" s="417"/>
      <c r="E507" s="417"/>
      <c r="F507" s="418"/>
      <c r="H507" s="15"/>
      <c r="I507" s="15"/>
      <c r="J507" s="286"/>
    </row>
  </sheetData>
  <sheetProtection selectLockedCells="1" selectUnlockedCells="1"/>
  <mergeCells count="4">
    <mergeCell ref="B1:I1"/>
    <mergeCell ref="A3:E3"/>
    <mergeCell ref="B325:D325"/>
    <mergeCell ref="F325:H32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9" firstPageNumber="0" orientation="portrait" horizontalDpi="300" verticalDpi="300" r:id="rId1"/>
  <headerFooter alignWithMargins="0">
    <oddHeader>&amp;R&amp;8 2.1. m. a 2016. évi költségvetésről szóló 5/2016. (II.29.) önkormányzati rendelet végrehajtásáról szóló 11/2017. (V.3.) önkormányzati rendelethez</oddHeader>
    <oddFooter>&amp;C&amp;8&amp;P. oldal</oddFooter>
  </headerFooter>
  <rowBreaks count="2" manualBreakCount="2">
    <brk id="218" max="9" man="1"/>
    <brk id="323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AB69"/>
  <sheetViews>
    <sheetView view="pageBreakPreview" zoomScaleSheetLayoutView="100" workbookViewId="0">
      <pane xSplit="3" ySplit="7" topLeftCell="D8" activePane="bottomRight" state="frozen"/>
      <selection pane="topRight" activeCell="D1" sqref="D1"/>
      <selection pane="bottomLeft" activeCell="A17" sqref="A17"/>
      <selection pane="bottomRight" activeCell="C42" sqref="C42"/>
    </sheetView>
  </sheetViews>
  <sheetFormatPr defaultRowHeight="12.75"/>
  <cols>
    <col min="1" max="2" width="9.140625" style="1"/>
    <col min="3" max="3" width="16.42578125" style="1" customWidth="1"/>
    <col min="4" max="4" width="9.85546875" style="1" customWidth="1"/>
    <col min="5" max="6" width="0" style="2" hidden="1" customWidth="1"/>
    <col min="7" max="7" width="9.85546875" style="2" customWidth="1"/>
    <col min="8" max="8" width="10.28515625" style="2" customWidth="1"/>
    <col min="9" max="9" width="13" style="2" customWidth="1"/>
    <col min="10" max="11" width="0" style="2" hidden="1" customWidth="1"/>
    <col min="12" max="12" width="13.85546875" style="2" customWidth="1"/>
    <col min="13" max="13" width="14.7109375" style="2" customWidth="1"/>
    <col min="14" max="14" width="9.7109375" style="2" customWidth="1"/>
    <col min="15" max="16" width="0" style="2" hidden="1" customWidth="1"/>
    <col min="17" max="17" width="11.28515625" style="2" customWidth="1"/>
    <col min="18" max="18" width="11.42578125" style="2" customWidth="1"/>
    <col min="19" max="19" width="9.85546875" style="2" customWidth="1"/>
    <col min="20" max="21" width="0" style="2" hidden="1" customWidth="1"/>
    <col min="22" max="22" width="12.42578125" style="2" customWidth="1"/>
    <col min="23" max="23" width="12.42578125" style="1" customWidth="1"/>
    <col min="24" max="24" width="14.28515625" style="419" customWidth="1"/>
    <col min="25" max="25" width="0" style="420" hidden="1" customWidth="1"/>
    <col min="26" max="26" width="0" style="421" hidden="1" customWidth="1"/>
    <col min="27" max="27" width="14.5703125" style="421" customWidth="1"/>
    <col min="28" max="28" width="14.28515625" style="419" customWidth="1"/>
    <col min="29" max="16384" width="9.140625" style="1"/>
  </cols>
  <sheetData>
    <row r="1" spans="1:28" s="5" customFormat="1" ht="35.25" customHeight="1">
      <c r="A1" s="1697" t="s">
        <v>1353</v>
      </c>
      <c r="B1" s="1697"/>
      <c r="C1" s="1697"/>
      <c r="D1" s="1697"/>
      <c r="E1" s="1697"/>
      <c r="F1" s="1697"/>
      <c r="G1" s="1697"/>
      <c r="H1" s="1697"/>
      <c r="I1" s="1697"/>
      <c r="J1" s="1697"/>
      <c r="K1" s="1697"/>
      <c r="L1" s="1697"/>
      <c r="M1" s="1697"/>
      <c r="N1" s="1697"/>
      <c r="O1" s="1697"/>
      <c r="P1" s="1697"/>
      <c r="Q1" s="1697"/>
      <c r="R1" s="1697"/>
      <c r="S1" s="1697"/>
      <c r="T1" s="1697"/>
      <c r="U1" s="1697"/>
      <c r="V1" s="1697"/>
      <c r="W1" s="1697"/>
      <c r="X1" s="1697"/>
      <c r="Y1" s="1697"/>
      <c r="Z1" s="1697"/>
      <c r="AA1" s="1697"/>
      <c r="AB1" s="1697"/>
    </row>
    <row r="2" spans="1:28" ht="11.25" customHeight="1">
      <c r="A2" s="1707" t="s">
        <v>0</v>
      </c>
      <c r="B2" s="1707"/>
      <c r="C2" s="1707"/>
      <c r="D2" s="1707"/>
      <c r="E2" s="1707"/>
      <c r="F2" s="1707"/>
      <c r="G2" s="1707"/>
      <c r="H2" s="1707"/>
      <c r="I2" s="1707"/>
      <c r="J2" s="1707"/>
      <c r="K2" s="1707"/>
      <c r="L2" s="1707"/>
      <c r="M2" s="1707"/>
      <c r="N2" s="1707"/>
      <c r="O2" s="1707"/>
      <c r="P2" s="1707"/>
      <c r="Q2" s="1707"/>
      <c r="R2" s="1707"/>
      <c r="S2" s="1707"/>
      <c r="T2" s="1707"/>
      <c r="U2" s="1707"/>
      <c r="V2" s="1707"/>
      <c r="W2" s="1707"/>
      <c r="X2" s="1707"/>
      <c r="Y2" s="1707"/>
      <c r="Z2" s="1707"/>
      <c r="AA2" s="1707"/>
      <c r="AB2" s="1707"/>
    </row>
    <row r="3" spans="1:28" ht="18" customHeight="1">
      <c r="A3" s="1708" t="s">
        <v>137</v>
      </c>
      <c r="B3" s="1708"/>
      <c r="C3" s="1708"/>
      <c r="D3" s="1709" t="s">
        <v>285</v>
      </c>
      <c r="E3" s="1709"/>
      <c r="F3" s="1709"/>
      <c r="G3" s="1709"/>
      <c r="H3" s="1709"/>
      <c r="I3" s="1709"/>
      <c r="J3" s="1709"/>
      <c r="K3" s="1709"/>
      <c r="L3" s="1709"/>
      <c r="M3" s="1709"/>
      <c r="N3" s="1709"/>
      <c r="O3" s="1709"/>
      <c r="P3" s="1709"/>
      <c r="Q3" s="1709"/>
      <c r="R3" s="1709"/>
      <c r="S3" s="1710" t="s">
        <v>286</v>
      </c>
      <c r="T3" s="1710"/>
      <c r="U3" s="1710"/>
      <c r="V3" s="1710"/>
      <c r="W3" s="1710"/>
      <c r="X3" s="1710" t="s">
        <v>287</v>
      </c>
      <c r="Y3" s="1710"/>
      <c r="Z3" s="1710"/>
      <c r="AA3" s="1710"/>
      <c r="AB3" s="1710"/>
    </row>
    <row r="4" spans="1:28" ht="26.25" customHeight="1">
      <c r="A4" s="1708"/>
      <c r="B4" s="1708"/>
      <c r="C4" s="1708"/>
      <c r="D4" s="1711" t="s">
        <v>288</v>
      </c>
      <c r="E4" s="1711"/>
      <c r="F4" s="1711"/>
      <c r="G4" s="1711"/>
      <c r="H4" s="1711"/>
      <c r="I4" s="1712" t="s">
        <v>289</v>
      </c>
      <c r="J4" s="1712"/>
      <c r="K4" s="1712"/>
      <c r="L4" s="1712"/>
      <c r="M4" s="1712"/>
      <c r="N4" s="1713" t="s">
        <v>290</v>
      </c>
      <c r="O4" s="1713"/>
      <c r="P4" s="1713"/>
      <c r="Q4" s="1713"/>
      <c r="R4" s="1713"/>
      <c r="S4" s="1710"/>
      <c r="T4" s="1710"/>
      <c r="U4" s="1710"/>
      <c r="V4" s="1710"/>
      <c r="W4" s="1710"/>
      <c r="X4" s="1710"/>
      <c r="Y4" s="1710"/>
      <c r="Z4" s="1710"/>
      <c r="AA4" s="1710"/>
      <c r="AB4" s="1710"/>
    </row>
    <row r="5" spans="1:28" ht="50.25" hidden="1" customHeight="1">
      <c r="A5" s="1708"/>
      <c r="B5" s="1708"/>
      <c r="C5" s="1708"/>
      <c r="D5" s="422"/>
      <c r="E5" s="1714"/>
      <c r="F5" s="1714"/>
      <c r="G5" s="1714"/>
      <c r="H5" s="423"/>
      <c r="I5" s="423"/>
      <c r="J5" s="1718"/>
      <c r="K5" s="1718"/>
      <c r="L5" s="1718"/>
      <c r="M5" s="423"/>
      <c r="N5" s="423"/>
      <c r="O5" s="423"/>
      <c r="P5" s="423"/>
      <c r="Q5" s="423"/>
      <c r="R5" s="423"/>
      <c r="S5" s="423"/>
      <c r="T5" s="1719"/>
      <c r="U5" s="1719"/>
      <c r="V5" s="1719"/>
      <c r="W5" s="95"/>
      <c r="X5" s="424"/>
      <c r="Y5" s="1714"/>
      <c r="Z5" s="1714"/>
      <c r="AA5" s="1714"/>
      <c r="AB5" s="425"/>
    </row>
    <row r="6" spans="1:28" ht="47.25" customHeight="1">
      <c r="A6" s="1708"/>
      <c r="B6" s="1708"/>
      <c r="C6" s="1708"/>
      <c r="D6" s="426" t="s">
        <v>138</v>
      </c>
      <c r="E6" s="426" t="s">
        <v>139</v>
      </c>
      <c r="F6" s="427" t="s">
        <v>4</v>
      </c>
      <c r="G6" s="426" t="s">
        <v>5</v>
      </c>
      <c r="H6" s="427" t="s">
        <v>140</v>
      </c>
      <c r="I6" s="426" t="s">
        <v>138</v>
      </c>
      <c r="J6" s="426" t="s">
        <v>139</v>
      </c>
      <c r="K6" s="427" t="s">
        <v>4</v>
      </c>
      <c r="L6" s="426" t="s">
        <v>5</v>
      </c>
      <c r="M6" s="427" t="s">
        <v>140</v>
      </c>
      <c r="N6" s="426" t="s">
        <v>138</v>
      </c>
      <c r="O6" s="426" t="s">
        <v>139</v>
      </c>
      <c r="P6" s="427" t="s">
        <v>4</v>
      </c>
      <c r="Q6" s="426" t="s">
        <v>5</v>
      </c>
      <c r="R6" s="427" t="s">
        <v>140</v>
      </c>
      <c r="S6" s="426" t="s">
        <v>138</v>
      </c>
      <c r="T6" s="426" t="s">
        <v>139</v>
      </c>
      <c r="U6" s="427" t="s">
        <v>4</v>
      </c>
      <c r="V6" s="426" t="s">
        <v>5</v>
      </c>
      <c r="W6" s="427" t="s">
        <v>140</v>
      </c>
      <c r="X6" s="426" t="s">
        <v>138</v>
      </c>
      <c r="Y6" s="426" t="s">
        <v>139</v>
      </c>
      <c r="Z6" s="427" t="s">
        <v>4</v>
      </c>
      <c r="AA6" s="426" t="s">
        <v>5</v>
      </c>
      <c r="AB6" s="427" t="s">
        <v>140</v>
      </c>
    </row>
    <row r="7" spans="1:28" s="297" customFormat="1" ht="50.25" hidden="1" customHeight="1">
      <c r="A7" s="428"/>
      <c r="B7" s="429"/>
      <c r="C7" s="429"/>
      <c r="D7" s="429"/>
      <c r="E7" s="316"/>
      <c r="F7" s="430"/>
      <c r="G7" s="431"/>
      <c r="H7" s="432"/>
      <c r="I7" s="432"/>
      <c r="J7" s="432"/>
      <c r="K7" s="430"/>
      <c r="L7" s="432"/>
      <c r="M7" s="432"/>
      <c r="N7" s="432"/>
      <c r="O7" s="432"/>
      <c r="P7" s="432"/>
      <c r="Q7" s="432"/>
      <c r="R7" s="432"/>
      <c r="S7" s="432"/>
      <c r="T7" s="432"/>
      <c r="U7" s="430"/>
      <c r="V7" s="432"/>
      <c r="W7" s="433"/>
      <c r="X7" s="434"/>
      <c r="Y7" s="435"/>
      <c r="Z7" s="436"/>
      <c r="AA7" s="437"/>
      <c r="AB7" s="438"/>
    </row>
    <row r="8" spans="1:28" s="297" customFormat="1" ht="17.25" customHeight="1">
      <c r="A8" s="1715" t="s">
        <v>291</v>
      </c>
      <c r="B8" s="1715"/>
      <c r="C8" s="1715"/>
      <c r="D8" s="440"/>
      <c r="E8" s="316"/>
      <c r="F8" s="430"/>
      <c r="G8" s="431"/>
      <c r="H8" s="432"/>
      <c r="I8" s="432"/>
      <c r="J8" s="432"/>
      <c r="K8" s="430"/>
      <c r="L8" s="432"/>
      <c r="M8" s="432"/>
      <c r="N8" s="432"/>
      <c r="O8" s="432"/>
      <c r="P8" s="432"/>
      <c r="Q8" s="432"/>
      <c r="R8" s="432"/>
      <c r="S8" s="432"/>
      <c r="T8" s="432"/>
      <c r="U8" s="430"/>
      <c r="V8" s="432"/>
      <c r="W8" s="433"/>
      <c r="X8" s="434"/>
      <c r="Y8" s="435"/>
      <c r="Z8" s="436"/>
      <c r="AA8" s="441"/>
      <c r="AB8" s="438"/>
    </row>
    <row r="9" spans="1:28" s="297" customFormat="1" ht="15" customHeight="1">
      <c r="A9" s="428"/>
      <c r="B9" s="429"/>
      <c r="C9" s="429"/>
      <c r="D9" s="442"/>
      <c r="E9" s="316"/>
      <c r="F9" s="430"/>
      <c r="G9" s="431"/>
      <c r="H9" s="432"/>
      <c r="I9" s="432"/>
      <c r="J9" s="432"/>
      <c r="K9" s="430"/>
      <c r="L9" s="432"/>
      <c r="M9" s="432"/>
      <c r="N9" s="432"/>
      <c r="O9" s="432"/>
      <c r="P9" s="432"/>
      <c r="Q9" s="432"/>
      <c r="R9" s="432"/>
      <c r="S9" s="432"/>
      <c r="T9" s="432"/>
      <c r="U9" s="430"/>
      <c r="V9" s="432"/>
      <c r="W9" s="433"/>
      <c r="X9" s="434"/>
      <c r="Y9" s="435"/>
      <c r="Z9" s="436"/>
      <c r="AA9" s="441"/>
      <c r="AB9" s="438"/>
    </row>
    <row r="10" spans="1:28" s="297" customFormat="1" ht="14.25" hidden="1" customHeight="1">
      <c r="A10" s="443" t="s">
        <v>178</v>
      </c>
      <c r="B10" s="433"/>
      <c r="C10" s="433"/>
      <c r="D10" s="432"/>
      <c r="E10" s="432"/>
      <c r="F10" s="444"/>
      <c r="G10" s="445">
        <f t="shared" ref="G10:G27" si="0">SUM(E10:F10)</f>
        <v>0</v>
      </c>
      <c r="H10" s="445">
        <f>E10-D10</f>
        <v>0</v>
      </c>
      <c r="I10" s="432"/>
      <c r="J10" s="432"/>
      <c r="K10" s="446"/>
      <c r="L10" s="445"/>
      <c r="M10" s="445"/>
      <c r="N10" s="445"/>
      <c r="O10" s="432"/>
      <c r="P10" s="444"/>
      <c r="Q10" s="445"/>
      <c r="R10" s="445"/>
      <c r="S10" s="432"/>
      <c r="T10" s="432"/>
      <c r="U10" s="444"/>
      <c r="V10" s="445"/>
      <c r="W10" s="445"/>
      <c r="X10" s="447"/>
      <c r="Y10" s="447"/>
      <c r="Z10" s="448"/>
      <c r="AA10" s="441"/>
      <c r="AB10" s="449"/>
    </row>
    <row r="11" spans="1:28" s="297" customFormat="1" ht="14.25" customHeight="1">
      <c r="A11" s="443" t="s">
        <v>179</v>
      </c>
      <c r="B11" s="433"/>
      <c r="C11" s="433"/>
      <c r="D11" s="432"/>
      <c r="E11" s="432"/>
      <c r="F11" s="444"/>
      <c r="G11" s="445">
        <f t="shared" si="0"/>
        <v>0</v>
      </c>
      <c r="H11" s="445"/>
      <c r="I11" s="432">
        <v>32407417</v>
      </c>
      <c r="J11" s="432">
        <v>32407417</v>
      </c>
      <c r="K11" s="446"/>
      <c r="L11" s="445">
        <v>32407417</v>
      </c>
      <c r="M11" s="445">
        <v>32407417</v>
      </c>
      <c r="N11" s="445"/>
      <c r="O11" s="432">
        <v>292989</v>
      </c>
      <c r="P11" s="444">
        <v>293370</v>
      </c>
      <c r="Q11" s="445">
        <v>1449324</v>
      </c>
      <c r="R11" s="445">
        <v>1449324</v>
      </c>
      <c r="S11" s="432"/>
      <c r="T11" s="432"/>
      <c r="U11" s="444"/>
      <c r="V11" s="445">
        <v>3517000</v>
      </c>
      <c r="W11" s="445">
        <v>3517000</v>
      </c>
      <c r="X11" s="447">
        <f t="shared" ref="X11:X27" si="1">SUM(D11+I11+N11+S11)</f>
        <v>32407417</v>
      </c>
      <c r="Y11" s="447">
        <f t="shared" ref="Y11:Y27" si="2">SUM(E11+J11+O11+T11)</f>
        <v>32700406</v>
      </c>
      <c r="Z11" s="448">
        <f t="shared" ref="Z11:Z27" si="3">SUM(F11+K11+P11+U11)</f>
        <v>293370</v>
      </c>
      <c r="AA11" s="441">
        <f t="shared" ref="AA11:AA27" si="4">SUM(G11+L11+Q11+V11)</f>
        <v>37373741</v>
      </c>
      <c r="AB11" s="449">
        <f t="shared" ref="AB11:AB27" si="5">SUM(H11+M11+R11+W11)</f>
        <v>37373741</v>
      </c>
    </row>
    <row r="12" spans="1:28" s="297" customFormat="1" ht="15.95" customHeight="1">
      <c r="A12" s="450" t="s">
        <v>190</v>
      </c>
      <c r="B12" s="433"/>
      <c r="C12" s="433"/>
      <c r="D12" s="432"/>
      <c r="E12" s="451"/>
      <c r="F12" s="444"/>
      <c r="G12" s="445">
        <f t="shared" si="0"/>
        <v>0</v>
      </c>
      <c r="H12" s="445">
        <f t="shared" ref="H12:H27" si="6">E12-D12</f>
        <v>0</v>
      </c>
      <c r="I12" s="432">
        <v>1286703</v>
      </c>
      <c r="J12" s="432">
        <v>1286703</v>
      </c>
      <c r="K12" s="446"/>
      <c r="L12" s="445">
        <v>1286703</v>
      </c>
      <c r="M12" s="445">
        <v>1286703</v>
      </c>
      <c r="N12" s="445"/>
      <c r="O12" s="432">
        <v>2505198</v>
      </c>
      <c r="P12" s="444">
        <f>2479544+1235835</f>
        <v>3715379</v>
      </c>
      <c r="Q12" s="432">
        <v>13460507</v>
      </c>
      <c r="R12" s="445">
        <v>13460507</v>
      </c>
      <c r="S12" s="432"/>
      <c r="T12" s="432"/>
      <c r="U12" s="444"/>
      <c r="V12" s="445">
        <f t="shared" ref="V12:V27" si="7">SUM(T12:U12)</f>
        <v>0</v>
      </c>
      <c r="W12" s="445"/>
      <c r="X12" s="447">
        <f t="shared" si="1"/>
        <v>1286703</v>
      </c>
      <c r="Y12" s="447">
        <f t="shared" si="2"/>
        <v>3791901</v>
      </c>
      <c r="Z12" s="448">
        <f t="shared" si="3"/>
        <v>3715379</v>
      </c>
      <c r="AA12" s="441">
        <f t="shared" si="4"/>
        <v>14747210</v>
      </c>
      <c r="AB12" s="449">
        <f t="shared" si="5"/>
        <v>14747210</v>
      </c>
    </row>
    <row r="13" spans="1:28" s="297" customFormat="1" ht="15.95" customHeight="1">
      <c r="A13" s="443" t="s">
        <v>166</v>
      </c>
      <c r="B13" s="433"/>
      <c r="C13" s="433"/>
      <c r="D13" s="432"/>
      <c r="E13" s="452"/>
      <c r="F13" s="444"/>
      <c r="G13" s="445">
        <f t="shared" si="0"/>
        <v>0</v>
      </c>
      <c r="H13" s="445">
        <f t="shared" si="6"/>
        <v>0</v>
      </c>
      <c r="I13" s="432">
        <v>219019551</v>
      </c>
      <c r="J13" s="432">
        <v>223626637</v>
      </c>
      <c r="K13" s="446">
        <v>9929473</v>
      </c>
      <c r="L13" s="445">
        <v>267428892</v>
      </c>
      <c r="M13" s="445">
        <v>267428892</v>
      </c>
      <c r="N13" s="445"/>
      <c r="O13" s="432">
        <v>7688743</v>
      </c>
      <c r="P13" s="444">
        <v>-4433606</v>
      </c>
      <c r="Q13" s="445">
        <v>8801862</v>
      </c>
      <c r="R13" s="445">
        <v>8801862</v>
      </c>
      <c r="S13" s="432"/>
      <c r="T13" s="432"/>
      <c r="U13" s="444"/>
      <c r="V13" s="445">
        <f t="shared" si="7"/>
        <v>0</v>
      </c>
      <c r="W13" s="445"/>
      <c r="X13" s="447">
        <f t="shared" si="1"/>
        <v>219019551</v>
      </c>
      <c r="Y13" s="447">
        <f t="shared" si="2"/>
        <v>231315380</v>
      </c>
      <c r="Z13" s="448">
        <f t="shared" si="3"/>
        <v>5495867</v>
      </c>
      <c r="AA13" s="441">
        <f t="shared" si="4"/>
        <v>276230754</v>
      </c>
      <c r="AB13" s="449">
        <f t="shared" si="5"/>
        <v>276230754</v>
      </c>
    </row>
    <row r="14" spans="1:28" s="297" customFormat="1" ht="15.95" customHeight="1">
      <c r="A14" s="443" t="s">
        <v>292</v>
      </c>
      <c r="B14" s="433"/>
      <c r="C14" s="433"/>
      <c r="D14" s="432"/>
      <c r="E14" s="451"/>
      <c r="F14" s="444"/>
      <c r="G14" s="445">
        <f t="shared" si="0"/>
        <v>0</v>
      </c>
      <c r="H14" s="445">
        <f t="shared" si="6"/>
        <v>0</v>
      </c>
      <c r="I14" s="432">
        <v>147203703</v>
      </c>
      <c r="J14" s="432">
        <v>152464578</v>
      </c>
      <c r="K14" s="446">
        <v>2091974</v>
      </c>
      <c r="L14" s="445">
        <v>195040340</v>
      </c>
      <c r="M14" s="445">
        <v>195040340</v>
      </c>
      <c r="N14" s="445"/>
      <c r="O14" s="432">
        <v>10596551</v>
      </c>
      <c r="P14" s="444">
        <v>-7728764</v>
      </c>
      <c r="Q14" s="445">
        <v>7277354</v>
      </c>
      <c r="R14" s="445">
        <v>7277354</v>
      </c>
      <c r="S14" s="432"/>
      <c r="T14" s="432"/>
      <c r="U14" s="444"/>
      <c r="V14" s="445">
        <f t="shared" si="7"/>
        <v>0</v>
      </c>
      <c r="W14" s="445"/>
      <c r="X14" s="447">
        <f t="shared" si="1"/>
        <v>147203703</v>
      </c>
      <c r="Y14" s="447">
        <f t="shared" si="2"/>
        <v>163061129</v>
      </c>
      <c r="Z14" s="448">
        <f t="shared" si="3"/>
        <v>-5636790</v>
      </c>
      <c r="AA14" s="441">
        <f t="shared" si="4"/>
        <v>202317694</v>
      </c>
      <c r="AB14" s="449">
        <f t="shared" si="5"/>
        <v>202317694</v>
      </c>
    </row>
    <row r="15" spans="1:28" s="297" customFormat="1" ht="15.95" hidden="1" customHeight="1">
      <c r="A15" s="443" t="s">
        <v>293</v>
      </c>
      <c r="B15" s="433"/>
      <c r="C15" s="433"/>
      <c r="D15" s="432"/>
      <c r="E15" s="451"/>
      <c r="F15" s="444"/>
      <c r="G15" s="432">
        <f t="shared" si="0"/>
        <v>0</v>
      </c>
      <c r="H15" s="445">
        <f t="shared" si="6"/>
        <v>0</v>
      </c>
      <c r="I15" s="432"/>
      <c r="J15" s="432"/>
      <c r="K15" s="446"/>
      <c r="L15" s="445">
        <v>0</v>
      </c>
      <c r="M15" s="445">
        <v>0</v>
      </c>
      <c r="N15" s="445"/>
      <c r="O15" s="432"/>
      <c r="P15" s="444"/>
      <c r="Q15" s="445">
        <v>0</v>
      </c>
      <c r="R15" s="445">
        <v>0</v>
      </c>
      <c r="S15" s="432"/>
      <c r="T15" s="432"/>
      <c r="U15" s="444"/>
      <c r="V15" s="445">
        <f t="shared" si="7"/>
        <v>0</v>
      </c>
      <c r="W15" s="445"/>
      <c r="X15" s="447">
        <f t="shared" si="1"/>
        <v>0</v>
      </c>
      <c r="Y15" s="447">
        <f t="shared" si="2"/>
        <v>0</v>
      </c>
      <c r="Z15" s="448">
        <f t="shared" si="3"/>
        <v>0</v>
      </c>
      <c r="AA15" s="441">
        <f t="shared" si="4"/>
        <v>0</v>
      </c>
      <c r="AB15" s="449">
        <f t="shared" si="5"/>
        <v>0</v>
      </c>
    </row>
    <row r="16" spans="1:28" s="297" customFormat="1" ht="15.95" customHeight="1">
      <c r="A16" s="453" t="s">
        <v>294</v>
      </c>
      <c r="B16" s="433"/>
      <c r="C16" s="433"/>
      <c r="D16" s="432"/>
      <c r="E16" s="451"/>
      <c r="F16" s="444"/>
      <c r="G16" s="445">
        <f t="shared" si="0"/>
        <v>0</v>
      </c>
      <c r="H16" s="445">
        <f t="shared" si="6"/>
        <v>0</v>
      </c>
      <c r="I16" s="432">
        <v>246746072</v>
      </c>
      <c r="J16" s="432">
        <v>246746072</v>
      </c>
      <c r="K16" s="446">
        <v>-6526278</v>
      </c>
      <c r="L16" s="445">
        <v>244129994</v>
      </c>
      <c r="M16" s="445">
        <v>244129994</v>
      </c>
      <c r="N16" s="445"/>
      <c r="O16" s="432">
        <v>1392174</v>
      </c>
      <c r="P16" s="444">
        <f>5137020-3910200</f>
        <v>1226820</v>
      </c>
      <c r="Q16" s="445">
        <v>6942582</v>
      </c>
      <c r="R16" s="445">
        <v>6942582</v>
      </c>
      <c r="S16" s="432"/>
      <c r="T16" s="432"/>
      <c r="U16" s="444"/>
      <c r="V16" s="445">
        <f t="shared" si="7"/>
        <v>0</v>
      </c>
      <c r="W16" s="445"/>
      <c r="X16" s="447">
        <f t="shared" si="1"/>
        <v>246746072</v>
      </c>
      <c r="Y16" s="447">
        <f t="shared" si="2"/>
        <v>248138246</v>
      </c>
      <c r="Z16" s="448">
        <f t="shared" si="3"/>
        <v>-5299458</v>
      </c>
      <c r="AA16" s="441">
        <f t="shared" si="4"/>
        <v>251072576</v>
      </c>
      <c r="AB16" s="449">
        <f t="shared" si="5"/>
        <v>251072576</v>
      </c>
    </row>
    <row r="17" spans="1:28" s="297" customFormat="1" ht="15.95" customHeight="1">
      <c r="A17" s="453" t="s">
        <v>198</v>
      </c>
      <c r="B17" s="454"/>
      <c r="C17" s="454"/>
      <c r="D17" s="432"/>
      <c r="E17" s="451"/>
      <c r="F17" s="444"/>
      <c r="G17" s="445">
        <f t="shared" si="0"/>
        <v>0</v>
      </c>
      <c r="H17" s="445">
        <f t="shared" si="6"/>
        <v>0</v>
      </c>
      <c r="I17" s="432">
        <v>105283471</v>
      </c>
      <c r="J17" s="432">
        <v>105283471</v>
      </c>
      <c r="K17" s="446">
        <v>-2181177</v>
      </c>
      <c r="L17" s="445">
        <v>102620094</v>
      </c>
      <c r="M17" s="445">
        <v>102620094</v>
      </c>
      <c r="N17" s="445"/>
      <c r="O17" s="432">
        <v>8382</v>
      </c>
      <c r="P17" s="444">
        <v>8382</v>
      </c>
      <c r="Q17" s="445">
        <v>44831</v>
      </c>
      <c r="R17" s="445">
        <v>44831</v>
      </c>
      <c r="S17" s="432"/>
      <c r="T17" s="432"/>
      <c r="U17" s="444"/>
      <c r="V17" s="445">
        <f t="shared" si="7"/>
        <v>0</v>
      </c>
      <c r="W17" s="445"/>
      <c r="X17" s="447">
        <f t="shared" si="1"/>
        <v>105283471</v>
      </c>
      <c r="Y17" s="447">
        <f t="shared" si="2"/>
        <v>105291853</v>
      </c>
      <c r="Z17" s="448">
        <f t="shared" si="3"/>
        <v>-2172795</v>
      </c>
      <c r="AA17" s="441">
        <f t="shared" si="4"/>
        <v>102664925</v>
      </c>
      <c r="AB17" s="449">
        <f t="shared" si="5"/>
        <v>102664925</v>
      </c>
    </row>
    <row r="18" spans="1:28" s="297" customFormat="1" ht="15.95" customHeight="1">
      <c r="A18" s="453" t="s">
        <v>295</v>
      </c>
      <c r="B18" s="454"/>
      <c r="C18" s="454"/>
      <c r="D18" s="432"/>
      <c r="E18" s="451"/>
      <c r="F18" s="444"/>
      <c r="G18" s="445">
        <f t="shared" si="0"/>
        <v>0</v>
      </c>
      <c r="H18" s="445">
        <f t="shared" si="6"/>
        <v>0</v>
      </c>
      <c r="I18" s="432">
        <v>147940561</v>
      </c>
      <c r="J18" s="432">
        <v>147940561</v>
      </c>
      <c r="K18" s="446">
        <v>1024900</v>
      </c>
      <c r="L18" s="445">
        <v>152306328</v>
      </c>
      <c r="M18" s="445">
        <v>152306328</v>
      </c>
      <c r="N18" s="445"/>
      <c r="O18" s="432">
        <v>43942</v>
      </c>
      <c r="P18" s="444">
        <v>43942</v>
      </c>
      <c r="Q18" s="445">
        <v>241300</v>
      </c>
      <c r="R18" s="445">
        <v>241300</v>
      </c>
      <c r="S18" s="432"/>
      <c r="T18" s="432"/>
      <c r="U18" s="444"/>
      <c r="V18" s="445">
        <f t="shared" si="7"/>
        <v>0</v>
      </c>
      <c r="W18" s="445"/>
      <c r="X18" s="447">
        <f t="shared" si="1"/>
        <v>147940561</v>
      </c>
      <c r="Y18" s="447">
        <f t="shared" si="2"/>
        <v>147984503</v>
      </c>
      <c r="Z18" s="448">
        <f t="shared" si="3"/>
        <v>1068842</v>
      </c>
      <c r="AA18" s="441">
        <f t="shared" si="4"/>
        <v>152547628</v>
      </c>
      <c r="AB18" s="449">
        <f t="shared" si="5"/>
        <v>152547628</v>
      </c>
    </row>
    <row r="19" spans="1:28" s="297" customFormat="1" ht="15.95" customHeight="1">
      <c r="A19" s="453" t="s">
        <v>296</v>
      </c>
      <c r="B19" s="454"/>
      <c r="C19" s="454"/>
      <c r="D19" s="432"/>
      <c r="E19" s="451"/>
      <c r="F19" s="444"/>
      <c r="G19" s="445">
        <f t="shared" si="0"/>
        <v>0</v>
      </c>
      <c r="H19" s="445">
        <f t="shared" si="6"/>
        <v>0</v>
      </c>
      <c r="I19" s="432">
        <v>149865611</v>
      </c>
      <c r="J19" s="432">
        <v>149865611</v>
      </c>
      <c r="K19" s="446">
        <v>-2660613</v>
      </c>
      <c r="L19" s="445">
        <v>148633976</v>
      </c>
      <c r="M19" s="445">
        <v>148633976</v>
      </c>
      <c r="N19" s="445"/>
      <c r="O19" s="432">
        <v>59436</v>
      </c>
      <c r="P19" s="444">
        <v>59436</v>
      </c>
      <c r="Q19" s="445">
        <v>326898</v>
      </c>
      <c r="R19" s="445">
        <v>326898</v>
      </c>
      <c r="S19" s="432"/>
      <c r="T19" s="432"/>
      <c r="U19" s="444"/>
      <c r="V19" s="445">
        <f t="shared" si="7"/>
        <v>0</v>
      </c>
      <c r="W19" s="445"/>
      <c r="X19" s="447">
        <f t="shared" si="1"/>
        <v>149865611</v>
      </c>
      <c r="Y19" s="447">
        <f t="shared" si="2"/>
        <v>149925047</v>
      </c>
      <c r="Z19" s="448">
        <f t="shared" si="3"/>
        <v>-2601177</v>
      </c>
      <c r="AA19" s="441">
        <f t="shared" si="4"/>
        <v>148960874</v>
      </c>
      <c r="AB19" s="449">
        <f t="shared" si="5"/>
        <v>148960874</v>
      </c>
    </row>
    <row r="20" spans="1:28" s="297" customFormat="1" ht="15.95" customHeight="1">
      <c r="A20" s="453" t="s">
        <v>197</v>
      </c>
      <c r="B20" s="454"/>
      <c r="C20" s="454"/>
      <c r="D20" s="432"/>
      <c r="E20" s="451"/>
      <c r="F20" s="444"/>
      <c r="G20" s="445">
        <f t="shared" si="0"/>
        <v>0</v>
      </c>
      <c r="H20" s="445">
        <f t="shared" si="6"/>
        <v>0</v>
      </c>
      <c r="I20" s="432">
        <v>205008032</v>
      </c>
      <c r="J20" s="432">
        <v>205008032</v>
      </c>
      <c r="K20" s="446">
        <v>-264173</v>
      </c>
      <c r="L20" s="445">
        <v>206719959</v>
      </c>
      <c r="M20" s="445">
        <v>206719959</v>
      </c>
      <c r="N20" s="445"/>
      <c r="O20" s="432">
        <v>79502</v>
      </c>
      <c r="P20" s="444">
        <v>79502</v>
      </c>
      <c r="Q20" s="445">
        <v>429641</v>
      </c>
      <c r="R20" s="445">
        <v>429641</v>
      </c>
      <c r="S20" s="432"/>
      <c r="T20" s="432"/>
      <c r="U20" s="444"/>
      <c r="V20" s="445">
        <f t="shared" si="7"/>
        <v>0</v>
      </c>
      <c r="W20" s="445"/>
      <c r="X20" s="447">
        <f t="shared" si="1"/>
        <v>205008032</v>
      </c>
      <c r="Y20" s="447">
        <f t="shared" si="2"/>
        <v>205087534</v>
      </c>
      <c r="Z20" s="448">
        <f t="shared" si="3"/>
        <v>-184671</v>
      </c>
      <c r="AA20" s="441">
        <f t="shared" si="4"/>
        <v>207149600</v>
      </c>
      <c r="AB20" s="449">
        <f t="shared" si="5"/>
        <v>207149600</v>
      </c>
    </row>
    <row r="21" spans="1:28" s="297" customFormat="1" ht="15.75" customHeight="1">
      <c r="A21" s="453" t="s">
        <v>170</v>
      </c>
      <c r="B21" s="454"/>
      <c r="C21" s="454"/>
      <c r="D21" s="432"/>
      <c r="E21" s="451"/>
      <c r="F21" s="444"/>
      <c r="G21" s="445">
        <f t="shared" si="0"/>
        <v>0</v>
      </c>
      <c r="H21" s="445">
        <f t="shared" si="6"/>
        <v>0</v>
      </c>
      <c r="I21" s="432">
        <v>115106611</v>
      </c>
      <c r="J21" s="432">
        <v>115106611</v>
      </c>
      <c r="K21" s="446">
        <v>-1129977</v>
      </c>
      <c r="L21" s="445">
        <v>116015267</v>
      </c>
      <c r="M21" s="445">
        <v>116015267</v>
      </c>
      <c r="N21" s="445"/>
      <c r="O21" s="432">
        <v>21590</v>
      </c>
      <c r="P21" s="444">
        <v>24130</v>
      </c>
      <c r="Q21" s="445">
        <v>125730</v>
      </c>
      <c r="R21" s="445">
        <v>125730</v>
      </c>
      <c r="S21" s="432"/>
      <c r="T21" s="432"/>
      <c r="U21" s="444"/>
      <c r="V21" s="445">
        <f t="shared" si="7"/>
        <v>0</v>
      </c>
      <c r="W21" s="445"/>
      <c r="X21" s="447">
        <f t="shared" si="1"/>
        <v>115106611</v>
      </c>
      <c r="Y21" s="447">
        <f t="shared" si="2"/>
        <v>115128201</v>
      </c>
      <c r="Z21" s="448">
        <f t="shared" si="3"/>
        <v>-1105847</v>
      </c>
      <c r="AA21" s="441">
        <f t="shared" si="4"/>
        <v>116140997</v>
      </c>
      <c r="AB21" s="449">
        <f t="shared" si="5"/>
        <v>116140997</v>
      </c>
    </row>
    <row r="22" spans="1:28" s="297" customFormat="1" ht="15.95" customHeight="1">
      <c r="A22" s="453" t="s">
        <v>171</v>
      </c>
      <c r="B22" s="454"/>
      <c r="C22" s="454"/>
      <c r="D22" s="432"/>
      <c r="E22" s="451"/>
      <c r="F22" s="444"/>
      <c r="G22" s="445">
        <f t="shared" si="0"/>
        <v>0</v>
      </c>
      <c r="H22" s="445">
        <f t="shared" si="6"/>
        <v>0</v>
      </c>
      <c r="I22" s="432">
        <v>108112909</v>
      </c>
      <c r="J22" s="432">
        <v>108112909</v>
      </c>
      <c r="K22" s="446">
        <v>-376701</v>
      </c>
      <c r="L22" s="445">
        <v>107385875</v>
      </c>
      <c r="M22" s="445">
        <v>107385875</v>
      </c>
      <c r="N22" s="445"/>
      <c r="O22" s="432">
        <v>15240</v>
      </c>
      <c r="P22" s="444">
        <v>15875</v>
      </c>
      <c r="Q22" s="445">
        <v>84455</v>
      </c>
      <c r="R22" s="445">
        <v>84455</v>
      </c>
      <c r="S22" s="432"/>
      <c r="T22" s="432"/>
      <c r="U22" s="444"/>
      <c r="V22" s="445">
        <f t="shared" si="7"/>
        <v>0</v>
      </c>
      <c r="W22" s="445"/>
      <c r="X22" s="447">
        <f t="shared" si="1"/>
        <v>108112909</v>
      </c>
      <c r="Y22" s="447">
        <f t="shared" si="2"/>
        <v>108128149</v>
      </c>
      <c r="Z22" s="448">
        <f t="shared" si="3"/>
        <v>-360826</v>
      </c>
      <c r="AA22" s="441">
        <f t="shared" si="4"/>
        <v>107470330</v>
      </c>
      <c r="AB22" s="449">
        <f t="shared" si="5"/>
        <v>107470330</v>
      </c>
    </row>
    <row r="23" spans="1:28" s="297" customFormat="1" ht="15.95" customHeight="1">
      <c r="A23" s="453" t="s">
        <v>172</v>
      </c>
      <c r="B23" s="454"/>
      <c r="C23" s="454"/>
      <c r="D23" s="432"/>
      <c r="E23" s="451"/>
      <c r="F23" s="444"/>
      <c r="G23" s="445">
        <f t="shared" si="0"/>
        <v>0</v>
      </c>
      <c r="H23" s="445">
        <f t="shared" si="6"/>
        <v>0</v>
      </c>
      <c r="I23" s="432">
        <v>150050472</v>
      </c>
      <c r="J23" s="432">
        <v>150050472</v>
      </c>
      <c r="K23" s="446">
        <v>-2576589</v>
      </c>
      <c r="L23" s="445">
        <v>150038383</v>
      </c>
      <c r="M23" s="445">
        <v>150038383</v>
      </c>
      <c r="N23" s="445"/>
      <c r="O23" s="432">
        <v>116332</v>
      </c>
      <c r="P23" s="444">
        <v>116332</v>
      </c>
      <c r="Q23" s="445">
        <v>616966</v>
      </c>
      <c r="R23" s="445">
        <v>616966</v>
      </c>
      <c r="S23" s="432"/>
      <c r="T23" s="432"/>
      <c r="U23" s="444"/>
      <c r="V23" s="445">
        <f t="shared" si="7"/>
        <v>0</v>
      </c>
      <c r="W23" s="445"/>
      <c r="X23" s="447">
        <f t="shared" si="1"/>
        <v>150050472</v>
      </c>
      <c r="Y23" s="447">
        <f t="shared" si="2"/>
        <v>150166804</v>
      </c>
      <c r="Z23" s="448">
        <f t="shared" si="3"/>
        <v>-2460257</v>
      </c>
      <c r="AA23" s="441">
        <f t="shared" si="4"/>
        <v>150655349</v>
      </c>
      <c r="AB23" s="449">
        <f t="shared" si="5"/>
        <v>150655349</v>
      </c>
    </row>
    <row r="24" spans="1:28" s="297" customFormat="1" ht="15.95" customHeight="1">
      <c r="A24" s="453" t="s">
        <v>173</v>
      </c>
      <c r="B24" s="454"/>
      <c r="C24" s="454"/>
      <c r="D24" s="432"/>
      <c r="E24" s="451"/>
      <c r="F24" s="444"/>
      <c r="G24" s="445">
        <f t="shared" si="0"/>
        <v>0</v>
      </c>
      <c r="H24" s="445">
        <f t="shared" si="6"/>
        <v>0</v>
      </c>
      <c r="I24" s="432">
        <v>101787705</v>
      </c>
      <c r="J24" s="432">
        <v>101787705</v>
      </c>
      <c r="K24" s="446">
        <v>1452004</v>
      </c>
      <c r="L24" s="445">
        <v>103259376</v>
      </c>
      <c r="M24" s="445">
        <v>103259376</v>
      </c>
      <c r="N24" s="445"/>
      <c r="O24" s="432">
        <v>188722</v>
      </c>
      <c r="P24" s="444">
        <v>188722</v>
      </c>
      <c r="Q24" s="445">
        <v>1029589</v>
      </c>
      <c r="R24" s="445">
        <v>1029589</v>
      </c>
      <c r="S24" s="432"/>
      <c r="T24" s="432"/>
      <c r="U24" s="444"/>
      <c r="V24" s="445">
        <f t="shared" si="7"/>
        <v>0</v>
      </c>
      <c r="W24" s="445"/>
      <c r="X24" s="447">
        <f t="shared" si="1"/>
        <v>101787705</v>
      </c>
      <c r="Y24" s="447">
        <f t="shared" si="2"/>
        <v>101976427</v>
      </c>
      <c r="Z24" s="448">
        <f t="shared" si="3"/>
        <v>1640726</v>
      </c>
      <c r="AA24" s="441">
        <f t="shared" si="4"/>
        <v>104288965</v>
      </c>
      <c r="AB24" s="449">
        <f t="shared" si="5"/>
        <v>104288965</v>
      </c>
    </row>
    <row r="25" spans="1:28" s="297" customFormat="1" ht="15.95" customHeight="1">
      <c r="A25" s="453" t="s">
        <v>174</v>
      </c>
      <c r="B25" s="454"/>
      <c r="C25" s="454"/>
      <c r="D25" s="432"/>
      <c r="E25" s="451"/>
      <c r="F25" s="444"/>
      <c r="G25" s="445">
        <f t="shared" si="0"/>
        <v>0</v>
      </c>
      <c r="H25" s="445">
        <f t="shared" si="6"/>
        <v>0</v>
      </c>
      <c r="I25" s="432">
        <v>102000832</v>
      </c>
      <c r="J25" s="432">
        <v>102000832</v>
      </c>
      <c r="K25" s="446">
        <v>-2896332</v>
      </c>
      <c r="L25" s="445">
        <v>101109700</v>
      </c>
      <c r="M25" s="445">
        <v>101109700</v>
      </c>
      <c r="N25" s="445"/>
      <c r="O25" s="432">
        <v>166116</v>
      </c>
      <c r="P25" s="444">
        <v>166116</v>
      </c>
      <c r="Q25" s="445">
        <v>893191</v>
      </c>
      <c r="R25" s="445">
        <v>893191</v>
      </c>
      <c r="S25" s="432"/>
      <c r="T25" s="432"/>
      <c r="U25" s="444"/>
      <c r="V25" s="445">
        <f t="shared" si="7"/>
        <v>0</v>
      </c>
      <c r="W25" s="445"/>
      <c r="X25" s="447">
        <f t="shared" si="1"/>
        <v>102000832</v>
      </c>
      <c r="Y25" s="447">
        <f t="shared" si="2"/>
        <v>102166948</v>
      </c>
      <c r="Z25" s="448">
        <f t="shared" si="3"/>
        <v>-2730216</v>
      </c>
      <c r="AA25" s="441">
        <f t="shared" si="4"/>
        <v>102002891</v>
      </c>
      <c r="AB25" s="449">
        <f t="shared" si="5"/>
        <v>102002891</v>
      </c>
    </row>
    <row r="26" spans="1:28" s="297" customFormat="1" ht="15.95" customHeight="1">
      <c r="A26" s="453" t="s">
        <v>175</v>
      </c>
      <c r="B26" s="454"/>
      <c r="C26" s="454"/>
      <c r="D26" s="432"/>
      <c r="E26" s="451"/>
      <c r="F26" s="444"/>
      <c r="G26" s="445">
        <f t="shared" si="0"/>
        <v>0</v>
      </c>
      <c r="H26" s="445">
        <f t="shared" si="6"/>
        <v>0</v>
      </c>
      <c r="I26" s="432">
        <v>110660587</v>
      </c>
      <c r="J26" s="432">
        <v>110660587</v>
      </c>
      <c r="K26" s="446">
        <v>709631</v>
      </c>
      <c r="L26" s="445">
        <v>112251718</v>
      </c>
      <c r="M26" s="445">
        <v>112251718</v>
      </c>
      <c r="N26" s="445"/>
      <c r="O26" s="432">
        <v>149860</v>
      </c>
      <c r="P26" s="444">
        <v>149860</v>
      </c>
      <c r="Q26" s="445">
        <v>727456</v>
      </c>
      <c r="R26" s="445">
        <v>727456</v>
      </c>
      <c r="S26" s="432"/>
      <c r="T26" s="432"/>
      <c r="U26" s="444"/>
      <c r="V26" s="445">
        <f t="shared" si="7"/>
        <v>0</v>
      </c>
      <c r="W26" s="445"/>
      <c r="X26" s="447">
        <f t="shared" si="1"/>
        <v>110660587</v>
      </c>
      <c r="Y26" s="447">
        <f t="shared" si="2"/>
        <v>110810447</v>
      </c>
      <c r="Z26" s="448">
        <f t="shared" si="3"/>
        <v>859491</v>
      </c>
      <c r="AA26" s="441">
        <f t="shared" si="4"/>
        <v>112979174</v>
      </c>
      <c r="AB26" s="449">
        <f t="shared" si="5"/>
        <v>112979174</v>
      </c>
    </row>
    <row r="27" spans="1:28" s="297" customFormat="1" ht="15.95" customHeight="1">
      <c r="A27" s="453" t="s">
        <v>176</v>
      </c>
      <c r="B27" s="454"/>
      <c r="C27" s="454"/>
      <c r="D27" s="432"/>
      <c r="E27" s="451"/>
      <c r="F27" s="444"/>
      <c r="G27" s="445">
        <f t="shared" si="0"/>
        <v>0</v>
      </c>
      <c r="H27" s="445">
        <f t="shared" si="6"/>
        <v>0</v>
      </c>
      <c r="I27" s="432">
        <v>106456210</v>
      </c>
      <c r="J27" s="432">
        <v>106456210</v>
      </c>
      <c r="K27" s="446">
        <v>-67518</v>
      </c>
      <c r="L27" s="445">
        <v>106188259</v>
      </c>
      <c r="M27" s="445">
        <v>106188259</v>
      </c>
      <c r="N27" s="445"/>
      <c r="O27" s="432">
        <v>46482</v>
      </c>
      <c r="P27" s="444">
        <v>46482</v>
      </c>
      <c r="Q27" s="445">
        <v>297053</v>
      </c>
      <c r="R27" s="445">
        <v>297053</v>
      </c>
      <c r="S27" s="432"/>
      <c r="T27" s="432"/>
      <c r="U27" s="444"/>
      <c r="V27" s="445">
        <f t="shared" si="7"/>
        <v>0</v>
      </c>
      <c r="W27" s="445"/>
      <c r="X27" s="447">
        <f t="shared" si="1"/>
        <v>106456210</v>
      </c>
      <c r="Y27" s="447">
        <f t="shared" si="2"/>
        <v>106502692</v>
      </c>
      <c r="Z27" s="448">
        <f t="shared" si="3"/>
        <v>-21036</v>
      </c>
      <c r="AA27" s="441">
        <f t="shared" si="4"/>
        <v>106485312</v>
      </c>
      <c r="AB27" s="449">
        <f t="shared" si="5"/>
        <v>106485312</v>
      </c>
    </row>
    <row r="28" spans="1:28" s="297" customFormat="1" ht="9" customHeight="1">
      <c r="A28" s="443"/>
      <c r="B28" s="433"/>
      <c r="C28" s="433"/>
      <c r="D28" s="455"/>
      <c r="E28" s="432"/>
      <c r="F28" s="430"/>
      <c r="G28" s="432"/>
      <c r="H28" s="432"/>
      <c r="I28" s="432"/>
      <c r="J28" s="432"/>
      <c r="K28" s="430"/>
      <c r="L28" s="432"/>
      <c r="M28" s="432"/>
      <c r="N28" s="432"/>
      <c r="O28" s="432"/>
      <c r="P28" s="432"/>
      <c r="Q28" s="432"/>
      <c r="R28" s="432"/>
      <c r="S28" s="432"/>
      <c r="T28" s="432"/>
      <c r="U28" s="430"/>
      <c r="V28" s="432"/>
      <c r="W28" s="433"/>
      <c r="X28" s="447"/>
      <c r="Y28" s="435"/>
      <c r="Z28" s="436"/>
      <c r="AA28" s="456"/>
      <c r="AB28" s="438"/>
    </row>
    <row r="29" spans="1:28" s="297" customFormat="1" ht="18" customHeight="1">
      <c r="A29" s="457" t="s">
        <v>297</v>
      </c>
      <c r="B29" s="458"/>
      <c r="C29" s="458"/>
      <c r="D29" s="459">
        <f t="shared" ref="D29:M29" si="8">SUM(D10:D28)</f>
        <v>0</v>
      </c>
      <c r="E29" s="460">
        <f t="shared" si="8"/>
        <v>0</v>
      </c>
      <c r="F29" s="461">
        <f t="shared" si="8"/>
        <v>0</v>
      </c>
      <c r="G29" s="462">
        <f t="shared" si="8"/>
        <v>0</v>
      </c>
      <c r="H29" s="462">
        <f t="shared" si="8"/>
        <v>0</v>
      </c>
      <c r="I29" s="463">
        <f t="shared" si="8"/>
        <v>2048936447</v>
      </c>
      <c r="J29" s="459">
        <f t="shared" si="8"/>
        <v>2058804408</v>
      </c>
      <c r="K29" s="461">
        <f t="shared" si="8"/>
        <v>-3471376</v>
      </c>
      <c r="L29" s="462">
        <f t="shared" si="8"/>
        <v>2146822281</v>
      </c>
      <c r="M29" s="462">
        <f t="shared" si="8"/>
        <v>2146822281</v>
      </c>
      <c r="N29" s="462"/>
      <c r="O29" s="462">
        <f t="shared" ref="O29:AB29" si="9">SUM(O10:O28)</f>
        <v>23371259</v>
      </c>
      <c r="P29" s="461">
        <f t="shared" si="9"/>
        <v>-6028022</v>
      </c>
      <c r="Q29" s="462">
        <f t="shared" si="9"/>
        <v>42748739</v>
      </c>
      <c r="R29" s="462">
        <f t="shared" si="9"/>
        <v>42748739</v>
      </c>
      <c r="S29" s="462">
        <f t="shared" si="9"/>
        <v>0</v>
      </c>
      <c r="T29" s="460">
        <f t="shared" si="9"/>
        <v>0</v>
      </c>
      <c r="U29" s="461">
        <f t="shared" si="9"/>
        <v>0</v>
      </c>
      <c r="V29" s="462">
        <f t="shared" si="9"/>
        <v>3517000</v>
      </c>
      <c r="W29" s="462">
        <f t="shared" si="9"/>
        <v>3517000</v>
      </c>
      <c r="X29" s="462">
        <f t="shared" si="9"/>
        <v>2048936447</v>
      </c>
      <c r="Y29" s="460">
        <f t="shared" si="9"/>
        <v>2082175667</v>
      </c>
      <c r="Z29" s="461">
        <f t="shared" si="9"/>
        <v>-9499398</v>
      </c>
      <c r="AA29" s="460">
        <f t="shared" si="9"/>
        <v>2193088020</v>
      </c>
      <c r="AB29" s="462">
        <f t="shared" si="9"/>
        <v>2193088020</v>
      </c>
    </row>
    <row r="30" spans="1:28" s="297" customFormat="1" ht="13.5" customHeight="1">
      <c r="A30" s="464"/>
      <c r="B30" s="311"/>
      <c r="C30" s="311"/>
      <c r="D30" s="311"/>
      <c r="E30" s="465"/>
      <c r="F30" s="465"/>
      <c r="G30" s="465"/>
      <c r="H30" s="465"/>
      <c r="I30" s="465"/>
      <c r="J30" s="465"/>
      <c r="K30" s="465"/>
      <c r="L30" s="465"/>
      <c r="M30" s="465"/>
      <c r="N30" s="465"/>
      <c r="O30" s="465"/>
      <c r="P30" s="465"/>
      <c r="Q30" s="465"/>
      <c r="R30" s="465"/>
      <c r="S30" s="465"/>
      <c r="T30" s="465"/>
      <c r="U30" s="465"/>
      <c r="V30" s="465"/>
      <c r="W30" s="433"/>
      <c r="X30" s="434"/>
      <c r="Y30" s="466"/>
      <c r="Z30" s="467"/>
      <c r="AA30" s="467"/>
      <c r="AB30" s="438"/>
    </row>
    <row r="31" spans="1:28" s="297" customFormat="1" ht="15">
      <c r="A31" s="1715" t="s">
        <v>298</v>
      </c>
      <c r="B31" s="1715"/>
      <c r="C31" s="1715"/>
      <c r="D31" s="440"/>
      <c r="E31" s="465"/>
      <c r="F31" s="465"/>
      <c r="G31" s="465"/>
      <c r="H31" s="465"/>
      <c r="I31" s="465"/>
      <c r="J31" s="465"/>
      <c r="K31" s="465"/>
      <c r="L31" s="465"/>
      <c r="M31" s="465"/>
      <c r="N31" s="465"/>
      <c r="O31" s="465"/>
      <c r="P31" s="465"/>
      <c r="Q31" s="465"/>
      <c r="R31" s="465"/>
      <c r="S31" s="465"/>
      <c r="T31" s="465"/>
      <c r="U31" s="465"/>
      <c r="V31" s="465"/>
      <c r="W31" s="433"/>
      <c r="X31" s="434"/>
      <c r="Y31" s="466"/>
      <c r="Z31" s="467"/>
      <c r="AA31" s="467"/>
      <c r="AB31" s="438"/>
    </row>
    <row r="32" spans="1:28" s="297" customFormat="1" ht="8.25" customHeight="1">
      <c r="A32" s="439"/>
      <c r="B32" s="440"/>
      <c r="C32" s="440"/>
      <c r="D32" s="440"/>
      <c r="E32" s="465"/>
      <c r="F32" s="465"/>
      <c r="G32" s="465"/>
      <c r="H32" s="465"/>
      <c r="I32" s="465"/>
      <c r="J32" s="465"/>
      <c r="K32" s="465"/>
      <c r="L32" s="465"/>
      <c r="M32" s="465"/>
      <c r="N32" s="465"/>
      <c r="O32" s="465"/>
      <c r="P32" s="465"/>
      <c r="Q32" s="465"/>
      <c r="R32" s="465"/>
      <c r="S32" s="465"/>
      <c r="T32" s="465"/>
      <c r="U32" s="465"/>
      <c r="V32" s="465"/>
      <c r="W32" s="433"/>
      <c r="X32" s="434"/>
      <c r="Y32" s="466"/>
      <c r="Z32" s="467"/>
      <c r="AA32" s="467"/>
      <c r="AB32" s="438"/>
    </row>
    <row r="33" spans="1:28" s="297" customFormat="1" ht="18.75" customHeight="1">
      <c r="A33" s="1716" t="s">
        <v>299</v>
      </c>
      <c r="B33" s="1716"/>
      <c r="C33" s="1716"/>
      <c r="D33" s="468"/>
      <c r="E33" s="468"/>
      <c r="F33" s="469"/>
      <c r="G33" s="470">
        <f>SUM(E33:F33)</f>
        <v>0</v>
      </c>
      <c r="H33" s="470">
        <f>E33-D33</f>
        <v>0</v>
      </c>
      <c r="I33" s="471">
        <v>585851</v>
      </c>
      <c r="J33" s="468">
        <v>585851</v>
      </c>
      <c r="K33" s="469"/>
      <c r="L33" s="470">
        <v>585851</v>
      </c>
      <c r="M33" s="470">
        <v>585851</v>
      </c>
      <c r="N33" s="470"/>
      <c r="O33" s="472">
        <v>1275080</v>
      </c>
      <c r="P33" s="444">
        <v>1186942</v>
      </c>
      <c r="Q33" s="445">
        <v>7002242</v>
      </c>
      <c r="R33" s="471">
        <v>7002242</v>
      </c>
      <c r="S33" s="471"/>
      <c r="T33" s="468"/>
      <c r="U33" s="469"/>
      <c r="V33" s="468">
        <f>SUM(T33:U33)</f>
        <v>0</v>
      </c>
      <c r="W33" s="445">
        <f>T33-S33</f>
        <v>0</v>
      </c>
      <c r="X33" s="447">
        <f>SUM(D33+I33+N33+S33)</f>
        <v>585851</v>
      </c>
      <c r="Y33" s="447">
        <f>SUM(E33+J33+O33+T33)</f>
        <v>1860931</v>
      </c>
      <c r="Z33" s="447">
        <f>SUM(F33+K33+P33+U33)</f>
        <v>1186942</v>
      </c>
      <c r="AA33" s="447">
        <f>SUM(G33+L33+Q33+V33)</f>
        <v>7588093</v>
      </c>
      <c r="AB33" s="447">
        <f>SUM(H33+M33+R33+W33)</f>
        <v>7588093</v>
      </c>
    </row>
    <row r="34" spans="1:28" s="297" customFormat="1" ht="9" customHeight="1">
      <c r="A34" s="428"/>
      <c r="B34" s="429"/>
      <c r="C34" s="429"/>
      <c r="D34" s="429"/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5"/>
      <c r="S34" s="465"/>
      <c r="T34" s="465"/>
      <c r="U34" s="465"/>
      <c r="V34" s="465"/>
      <c r="W34" s="433"/>
      <c r="X34" s="434"/>
      <c r="Y34" s="466"/>
      <c r="Z34" s="467"/>
      <c r="AA34" s="467"/>
      <c r="AB34" s="438"/>
    </row>
    <row r="35" spans="1:28" s="483" customFormat="1" ht="18" customHeight="1">
      <c r="A35" s="473" t="s">
        <v>300</v>
      </c>
      <c r="B35" s="474"/>
      <c r="C35" s="474"/>
      <c r="D35" s="475">
        <f t="shared" ref="D35:M35" si="10">SUM(D33:D34)</f>
        <v>0</v>
      </c>
      <c r="E35" s="475">
        <f t="shared" si="10"/>
        <v>0</v>
      </c>
      <c r="F35" s="476">
        <f t="shared" si="10"/>
        <v>0</v>
      </c>
      <c r="G35" s="477">
        <f t="shared" si="10"/>
        <v>0</v>
      </c>
      <c r="H35" s="477">
        <f t="shared" si="10"/>
        <v>0</v>
      </c>
      <c r="I35" s="477">
        <f t="shared" si="10"/>
        <v>585851</v>
      </c>
      <c r="J35" s="478">
        <f t="shared" si="10"/>
        <v>585851</v>
      </c>
      <c r="K35" s="479">
        <f t="shared" si="10"/>
        <v>0</v>
      </c>
      <c r="L35" s="480">
        <f t="shared" si="10"/>
        <v>585851</v>
      </c>
      <c r="M35" s="480">
        <f t="shared" si="10"/>
        <v>585851</v>
      </c>
      <c r="N35" s="480"/>
      <c r="O35" s="480">
        <f t="shared" ref="O35:AB35" si="11">SUM(O33:O34)</f>
        <v>1275080</v>
      </c>
      <c r="P35" s="479">
        <f t="shared" si="11"/>
        <v>1186942</v>
      </c>
      <c r="Q35" s="480">
        <f t="shared" si="11"/>
        <v>7002242</v>
      </c>
      <c r="R35" s="480">
        <f t="shared" si="11"/>
        <v>7002242</v>
      </c>
      <c r="S35" s="480">
        <f t="shared" si="11"/>
        <v>0</v>
      </c>
      <c r="T35" s="481">
        <f t="shared" si="11"/>
        <v>0</v>
      </c>
      <c r="U35" s="479">
        <f t="shared" si="11"/>
        <v>0</v>
      </c>
      <c r="V35" s="482">
        <f t="shared" si="11"/>
        <v>0</v>
      </c>
      <c r="W35" s="482">
        <f t="shared" si="11"/>
        <v>0</v>
      </c>
      <c r="X35" s="482">
        <f t="shared" si="11"/>
        <v>585851</v>
      </c>
      <c r="Y35" s="481">
        <f t="shared" si="11"/>
        <v>1860931</v>
      </c>
      <c r="Z35" s="479">
        <f t="shared" si="11"/>
        <v>1186942</v>
      </c>
      <c r="AA35" s="481">
        <f t="shared" si="11"/>
        <v>7588093</v>
      </c>
      <c r="AB35" s="480">
        <f t="shared" si="11"/>
        <v>7588093</v>
      </c>
    </row>
    <row r="36" spans="1:28" s="297" customFormat="1" ht="11.25" customHeight="1">
      <c r="A36" s="439"/>
      <c r="B36" s="429"/>
      <c r="C36" s="429"/>
      <c r="D36" s="429"/>
      <c r="E36" s="465"/>
      <c r="F36" s="465"/>
      <c r="G36" s="465"/>
      <c r="H36" s="465"/>
      <c r="I36" s="465"/>
      <c r="J36" s="465"/>
      <c r="K36" s="465"/>
      <c r="L36" s="465"/>
      <c r="M36" s="465"/>
      <c r="N36" s="465"/>
      <c r="O36" s="465"/>
      <c r="P36" s="465"/>
      <c r="Q36" s="465"/>
      <c r="R36" s="465"/>
      <c r="S36" s="465"/>
      <c r="T36" s="465"/>
      <c r="U36" s="465"/>
      <c r="V36" s="465"/>
      <c r="W36" s="433"/>
      <c r="X36" s="434"/>
      <c r="Y36" s="466"/>
      <c r="Z36" s="467"/>
      <c r="AA36" s="467"/>
      <c r="AB36" s="438"/>
    </row>
    <row r="37" spans="1:28" s="297" customFormat="1" ht="15.75" customHeight="1">
      <c r="A37" s="1715" t="s">
        <v>301</v>
      </c>
      <c r="B37" s="1715"/>
      <c r="C37" s="1715"/>
      <c r="D37" s="440"/>
      <c r="E37" s="465"/>
      <c r="F37" s="465"/>
      <c r="G37" s="465"/>
      <c r="H37" s="465"/>
      <c r="I37" s="465"/>
      <c r="J37" s="465"/>
      <c r="K37" s="465"/>
      <c r="L37" s="465"/>
      <c r="M37" s="465"/>
      <c r="N37" s="465"/>
      <c r="O37" s="465"/>
      <c r="P37" s="465"/>
      <c r="Q37" s="465"/>
      <c r="R37" s="465"/>
      <c r="S37" s="465"/>
      <c r="T37" s="465"/>
      <c r="U37" s="465"/>
      <c r="V37" s="465"/>
      <c r="W37" s="433"/>
      <c r="X37" s="434"/>
      <c r="Y37" s="466"/>
      <c r="Z37" s="467"/>
      <c r="AA37" s="467"/>
      <c r="AB37" s="438"/>
    </row>
    <row r="38" spans="1:28" s="297" customFormat="1" ht="9.75" customHeight="1">
      <c r="A38" s="439"/>
      <c r="B38" s="440"/>
      <c r="C38" s="440"/>
      <c r="D38" s="440"/>
      <c r="E38" s="465"/>
      <c r="F38" s="465"/>
      <c r="G38" s="465"/>
      <c r="H38" s="465"/>
      <c r="I38" s="465"/>
      <c r="J38" s="465"/>
      <c r="K38" s="465"/>
      <c r="L38" s="465"/>
      <c r="M38" s="465"/>
      <c r="N38" s="465"/>
      <c r="O38" s="465"/>
      <c r="P38" s="465"/>
      <c r="Q38" s="465"/>
      <c r="R38" s="465"/>
      <c r="S38" s="465"/>
      <c r="T38" s="465"/>
      <c r="U38" s="465"/>
      <c r="V38" s="465"/>
      <c r="W38" s="433"/>
      <c r="X38" s="434"/>
      <c r="Y38" s="466"/>
      <c r="Z38" s="467"/>
      <c r="AA38" s="467"/>
      <c r="AB38" s="438"/>
    </row>
    <row r="39" spans="1:28" s="297" customFormat="1" ht="18.75" customHeight="1">
      <c r="A39" s="1716" t="s">
        <v>302</v>
      </c>
      <c r="B39" s="1716"/>
      <c r="C39" s="1716"/>
      <c r="D39" s="468"/>
      <c r="E39" s="484"/>
      <c r="F39" s="485"/>
      <c r="G39" s="411">
        <f>SUM(E39:F39)</f>
        <v>0</v>
      </c>
      <c r="H39" s="445">
        <f>E39-D39</f>
        <v>0</v>
      </c>
      <c r="I39" s="465">
        <v>3910200</v>
      </c>
      <c r="J39" s="411">
        <v>3910200</v>
      </c>
      <c r="K39" s="485">
        <v>-3910200</v>
      </c>
      <c r="L39" s="411">
        <f>SUM(J39:K39)</f>
        <v>0</v>
      </c>
      <c r="M39" s="411"/>
      <c r="N39" s="445"/>
      <c r="O39" s="486"/>
      <c r="P39" s="444"/>
      <c r="Q39" s="445">
        <f>SUM(O39:P39)</f>
        <v>0</v>
      </c>
      <c r="R39" s="465"/>
      <c r="S39" s="465"/>
      <c r="T39" s="411"/>
      <c r="U39" s="485">
        <v>743400000</v>
      </c>
      <c r="V39" s="404">
        <f>SUM(T39:U39)</f>
        <v>743400000</v>
      </c>
      <c r="W39" s="445">
        <v>743400000</v>
      </c>
      <c r="X39" s="447">
        <f>SUM(D39+I39+O39+S39)</f>
        <v>3910200</v>
      </c>
      <c r="Y39" s="447">
        <f>SUM(E39+J39+P39+T39)</f>
        <v>3910200</v>
      </c>
      <c r="Z39" s="447">
        <f>SUM(F39+K39+Q39+U39)</f>
        <v>739489800</v>
      </c>
      <c r="AA39" s="447">
        <f>SUM(G39+L39+R39+V39)</f>
        <v>743400000</v>
      </c>
      <c r="AB39" s="447">
        <f>SUM(H39+M39+S39+W39)</f>
        <v>743400000</v>
      </c>
    </row>
    <row r="40" spans="1:28" s="297" customFormat="1" ht="7.5" customHeight="1">
      <c r="A40" s="428"/>
      <c r="B40" s="429"/>
      <c r="C40" s="429"/>
      <c r="D40" s="429"/>
      <c r="E40" s="465"/>
      <c r="F40" s="465"/>
      <c r="G40" s="465"/>
      <c r="H40" s="465"/>
      <c r="I40" s="465"/>
      <c r="J40" s="465"/>
      <c r="K40" s="465"/>
      <c r="L40" s="465"/>
      <c r="M40" s="465"/>
      <c r="N40" s="465"/>
      <c r="O40" s="465"/>
      <c r="P40" s="465"/>
      <c r="Q40" s="465"/>
      <c r="R40" s="465"/>
      <c r="S40" s="465"/>
      <c r="T40" s="465"/>
      <c r="U40" s="465"/>
      <c r="V40" s="465"/>
      <c r="W40" s="433"/>
      <c r="X40" s="434"/>
      <c r="Y40" s="466"/>
      <c r="Z40" s="467"/>
      <c r="AA40" s="467"/>
      <c r="AB40" s="438"/>
    </row>
    <row r="41" spans="1:28" s="483" customFormat="1" ht="16.5" customHeight="1">
      <c r="A41" s="457" t="s">
        <v>303</v>
      </c>
      <c r="B41" s="487"/>
      <c r="C41" s="487" t="s">
        <v>37</v>
      </c>
      <c r="D41" s="475">
        <f t="shared" ref="D41:M41" si="12">SUM(D39:D40)</f>
        <v>0</v>
      </c>
      <c r="E41" s="475">
        <f t="shared" si="12"/>
        <v>0</v>
      </c>
      <c r="F41" s="476">
        <f t="shared" si="12"/>
        <v>0</v>
      </c>
      <c r="G41" s="477">
        <f t="shared" si="12"/>
        <v>0</v>
      </c>
      <c r="H41" s="477">
        <f t="shared" si="12"/>
        <v>0</v>
      </c>
      <c r="I41" s="477">
        <f t="shared" si="12"/>
        <v>3910200</v>
      </c>
      <c r="J41" s="478">
        <f t="shared" si="12"/>
        <v>3910200</v>
      </c>
      <c r="K41" s="479">
        <f t="shared" si="12"/>
        <v>-3910200</v>
      </c>
      <c r="L41" s="480">
        <f t="shared" si="12"/>
        <v>0</v>
      </c>
      <c r="M41" s="480">
        <f t="shared" si="12"/>
        <v>0</v>
      </c>
      <c r="N41" s="480"/>
      <c r="O41" s="480">
        <f>SUM(O39:O40)</f>
        <v>0</v>
      </c>
      <c r="P41" s="479">
        <f>SUM(P39:P40)</f>
        <v>0</v>
      </c>
      <c r="Q41" s="480">
        <f>SUM(Q39:Q40)</f>
        <v>0</v>
      </c>
      <c r="R41" s="480"/>
      <c r="S41" s="480">
        <f t="shared" ref="S41:AB41" si="13">SUM(S39:S40)</f>
        <v>0</v>
      </c>
      <c r="T41" s="481">
        <f t="shared" si="13"/>
        <v>0</v>
      </c>
      <c r="U41" s="479">
        <f t="shared" si="13"/>
        <v>743400000</v>
      </c>
      <c r="V41" s="482">
        <f t="shared" si="13"/>
        <v>743400000</v>
      </c>
      <c r="W41" s="482">
        <f t="shared" si="13"/>
        <v>743400000</v>
      </c>
      <c r="X41" s="482">
        <f t="shared" si="13"/>
        <v>3910200</v>
      </c>
      <c r="Y41" s="481">
        <f t="shared" si="13"/>
        <v>3910200</v>
      </c>
      <c r="Z41" s="479">
        <f t="shared" si="13"/>
        <v>739489800</v>
      </c>
      <c r="AA41" s="481">
        <f t="shared" si="13"/>
        <v>743400000</v>
      </c>
      <c r="AB41" s="480">
        <f t="shared" si="13"/>
        <v>743400000</v>
      </c>
    </row>
    <row r="42" spans="1:28" s="297" customFormat="1" ht="8.25" customHeight="1">
      <c r="A42" s="439"/>
      <c r="B42" s="440"/>
      <c r="C42" s="440"/>
      <c r="D42" s="440"/>
      <c r="E42" s="435"/>
      <c r="F42" s="435"/>
      <c r="G42" s="435"/>
      <c r="H42" s="390"/>
      <c r="I42" s="390"/>
      <c r="J42" s="488"/>
      <c r="K42" s="489"/>
      <c r="L42" s="488"/>
      <c r="M42" s="390"/>
      <c r="N42" s="390"/>
      <c r="O42" s="390"/>
      <c r="P42" s="390"/>
      <c r="Q42" s="390"/>
      <c r="R42" s="390"/>
      <c r="S42" s="390"/>
      <c r="T42" s="488"/>
      <c r="U42" s="489"/>
      <c r="V42" s="488"/>
      <c r="W42" s="320"/>
      <c r="X42" s="490"/>
      <c r="Y42" s="488"/>
      <c r="Z42" s="436"/>
      <c r="AA42" s="488"/>
      <c r="AB42" s="438"/>
    </row>
    <row r="43" spans="1:28" s="297" customFormat="1" ht="17.25" customHeight="1">
      <c r="A43" s="491" t="s">
        <v>304</v>
      </c>
      <c r="B43" s="440"/>
      <c r="C43" s="440"/>
      <c r="D43" s="440"/>
      <c r="E43" s="435"/>
      <c r="F43" s="435"/>
      <c r="G43" s="435"/>
      <c r="H43" s="390"/>
      <c r="I43" s="390"/>
      <c r="J43" s="488"/>
      <c r="K43" s="489"/>
      <c r="L43" s="488"/>
      <c r="M43" s="390"/>
      <c r="N43" s="390"/>
      <c r="O43" s="390"/>
      <c r="P43" s="390"/>
      <c r="Q43" s="390"/>
      <c r="R43" s="390"/>
      <c r="S43" s="390"/>
      <c r="T43" s="488"/>
      <c r="U43" s="489"/>
      <c r="V43" s="488"/>
      <c r="W43" s="320"/>
      <c r="X43" s="490"/>
      <c r="Y43" s="488"/>
      <c r="Z43" s="436"/>
      <c r="AA43" s="488"/>
      <c r="AB43" s="438"/>
    </row>
    <row r="44" spans="1:28" s="297" customFormat="1" ht="50.25" hidden="1" customHeight="1">
      <c r="A44" s="439"/>
      <c r="B44" s="440"/>
      <c r="C44" s="440"/>
      <c r="D44" s="440"/>
      <c r="E44" s="435"/>
      <c r="F44" s="435"/>
      <c r="G44" s="435"/>
      <c r="H44" s="390"/>
      <c r="I44" s="390"/>
      <c r="J44" s="488"/>
      <c r="K44" s="489"/>
      <c r="L44" s="488"/>
      <c r="M44" s="390"/>
      <c r="N44" s="390"/>
      <c r="O44" s="390"/>
      <c r="P44" s="390"/>
      <c r="Q44" s="390"/>
      <c r="R44" s="390"/>
      <c r="S44" s="390"/>
      <c r="T44" s="488"/>
      <c r="U44" s="489"/>
      <c r="V44" s="488"/>
      <c r="W44" s="320"/>
      <c r="X44" s="490"/>
      <c r="Y44" s="488"/>
      <c r="Z44" s="436"/>
      <c r="AA44" s="488"/>
      <c r="AB44" s="438"/>
    </row>
    <row r="45" spans="1:28" s="297" customFormat="1" ht="15.75" customHeight="1">
      <c r="A45" s="439" t="s">
        <v>305</v>
      </c>
      <c r="B45" s="440"/>
      <c r="C45" s="440"/>
      <c r="D45" s="435">
        <f t="shared" ref="D45:M45" si="14">SUM(D29)</f>
        <v>0</v>
      </c>
      <c r="E45" s="435">
        <f t="shared" si="14"/>
        <v>0</v>
      </c>
      <c r="F45" s="485">
        <f t="shared" si="14"/>
        <v>0</v>
      </c>
      <c r="G45" s="435">
        <f t="shared" si="14"/>
        <v>0</v>
      </c>
      <c r="H45" s="435">
        <f t="shared" si="14"/>
        <v>0</v>
      </c>
      <c r="I45" s="492">
        <f t="shared" si="14"/>
        <v>2048936447</v>
      </c>
      <c r="J45" s="492">
        <f t="shared" si="14"/>
        <v>2058804408</v>
      </c>
      <c r="K45" s="492">
        <f t="shared" si="14"/>
        <v>-3471376</v>
      </c>
      <c r="L45" s="492">
        <f t="shared" si="14"/>
        <v>2146822281</v>
      </c>
      <c r="M45" s="435">
        <f t="shared" si="14"/>
        <v>2146822281</v>
      </c>
      <c r="N45" s="435"/>
      <c r="O45" s="435">
        <f t="shared" ref="O45:U45" si="15">SUM(O29)</f>
        <v>23371259</v>
      </c>
      <c r="P45" s="485">
        <f t="shared" si="15"/>
        <v>-6028022</v>
      </c>
      <c r="Q45" s="435">
        <f t="shared" si="15"/>
        <v>42748739</v>
      </c>
      <c r="R45" s="435">
        <f t="shared" si="15"/>
        <v>42748739</v>
      </c>
      <c r="S45" s="435">
        <f t="shared" si="15"/>
        <v>0</v>
      </c>
      <c r="T45" s="435">
        <f t="shared" si="15"/>
        <v>0</v>
      </c>
      <c r="U45" s="485">
        <f t="shared" si="15"/>
        <v>0</v>
      </c>
      <c r="V45" s="435">
        <v>3517000</v>
      </c>
      <c r="W45" s="435">
        <f>SUM(W29)</f>
        <v>3517000</v>
      </c>
      <c r="X45" s="435">
        <f>SUM(X29)</f>
        <v>2048936447</v>
      </c>
      <c r="Y45" s="435">
        <f t="shared" ref="Y45:AB46" si="16">SUM(E45+J45+O45+T45)</f>
        <v>2082175667</v>
      </c>
      <c r="Z45" s="448">
        <f t="shared" si="16"/>
        <v>-9499398</v>
      </c>
      <c r="AA45" s="456">
        <f t="shared" si="16"/>
        <v>2193088020</v>
      </c>
      <c r="AB45" s="493">
        <f t="shared" si="16"/>
        <v>2193088020</v>
      </c>
    </row>
    <row r="46" spans="1:28" s="297" customFormat="1" ht="19.5" customHeight="1">
      <c r="A46" s="494" t="s">
        <v>306</v>
      </c>
      <c r="B46" s="433"/>
      <c r="C46" s="433"/>
      <c r="D46" s="435">
        <f t="shared" ref="D46:K46" si="17">SUM(D35)</f>
        <v>0</v>
      </c>
      <c r="E46" s="435">
        <f t="shared" si="17"/>
        <v>0</v>
      </c>
      <c r="F46" s="485">
        <f t="shared" si="17"/>
        <v>0</v>
      </c>
      <c r="G46" s="435">
        <f t="shared" si="17"/>
        <v>0</v>
      </c>
      <c r="H46" s="435">
        <f t="shared" si="17"/>
        <v>0</v>
      </c>
      <c r="I46" s="435">
        <f t="shared" si="17"/>
        <v>585851</v>
      </c>
      <c r="J46" s="435">
        <f t="shared" si="17"/>
        <v>585851</v>
      </c>
      <c r="K46" s="485">
        <f t="shared" si="17"/>
        <v>0</v>
      </c>
      <c r="L46" s="435">
        <f>J46+K46</f>
        <v>585851</v>
      </c>
      <c r="M46" s="435">
        <f>SUM(M35)</f>
        <v>585851</v>
      </c>
      <c r="N46" s="435"/>
      <c r="O46" s="435">
        <f t="shared" ref="O46:U46" si="18">SUM(O35)</f>
        <v>1275080</v>
      </c>
      <c r="P46" s="485">
        <f t="shared" si="18"/>
        <v>1186942</v>
      </c>
      <c r="Q46" s="435">
        <f t="shared" si="18"/>
        <v>7002242</v>
      </c>
      <c r="R46" s="435">
        <f t="shared" si="18"/>
        <v>7002242</v>
      </c>
      <c r="S46" s="435">
        <f t="shared" si="18"/>
        <v>0</v>
      </c>
      <c r="T46" s="435">
        <f t="shared" si="18"/>
        <v>0</v>
      </c>
      <c r="U46" s="485">
        <f t="shared" si="18"/>
        <v>0</v>
      </c>
      <c r="V46" s="435"/>
      <c r="W46" s="435">
        <f>SUM(W35)</f>
        <v>0</v>
      </c>
      <c r="X46" s="435">
        <f>SUM(X35)</f>
        <v>585851</v>
      </c>
      <c r="Y46" s="435">
        <f t="shared" si="16"/>
        <v>1860931</v>
      </c>
      <c r="Z46" s="448">
        <f t="shared" si="16"/>
        <v>1186942</v>
      </c>
      <c r="AA46" s="456">
        <f t="shared" si="16"/>
        <v>7588093</v>
      </c>
      <c r="AB46" s="493">
        <f t="shared" si="16"/>
        <v>7588093</v>
      </c>
    </row>
    <row r="47" spans="1:28" s="297" customFormat="1" ht="19.5" customHeight="1">
      <c r="A47" s="494" t="s">
        <v>307</v>
      </c>
      <c r="B47" s="433"/>
      <c r="C47" s="433"/>
      <c r="D47" s="435">
        <f t="shared" ref="D47:K47" si="19">SUM(D41)</f>
        <v>0</v>
      </c>
      <c r="E47" s="435">
        <f t="shared" si="19"/>
        <v>0</v>
      </c>
      <c r="F47" s="485">
        <f t="shared" si="19"/>
        <v>0</v>
      </c>
      <c r="G47" s="435">
        <f t="shared" si="19"/>
        <v>0</v>
      </c>
      <c r="H47" s="435">
        <f t="shared" si="19"/>
        <v>0</v>
      </c>
      <c r="I47" s="435">
        <f t="shared" si="19"/>
        <v>3910200</v>
      </c>
      <c r="J47" s="435">
        <f t="shared" si="19"/>
        <v>3910200</v>
      </c>
      <c r="K47" s="485">
        <f t="shared" si="19"/>
        <v>-3910200</v>
      </c>
      <c r="L47" s="435">
        <f>J47+K47</f>
        <v>0</v>
      </c>
      <c r="M47" s="435">
        <f>SUM(M41)</f>
        <v>0</v>
      </c>
      <c r="N47" s="435"/>
      <c r="O47" s="435">
        <f t="shared" ref="O47:U47" si="20">SUM(O41)</f>
        <v>0</v>
      </c>
      <c r="P47" s="485">
        <f t="shared" si="20"/>
        <v>0</v>
      </c>
      <c r="Q47" s="435">
        <f t="shared" si="20"/>
        <v>0</v>
      </c>
      <c r="R47" s="435">
        <f t="shared" si="20"/>
        <v>0</v>
      </c>
      <c r="S47" s="435">
        <f t="shared" si="20"/>
        <v>0</v>
      </c>
      <c r="T47" s="435">
        <f t="shared" si="20"/>
        <v>0</v>
      </c>
      <c r="U47" s="485">
        <f t="shared" si="20"/>
        <v>743400000</v>
      </c>
      <c r="V47" s="435">
        <v>743400000</v>
      </c>
      <c r="W47" s="435">
        <f t="shared" ref="W47:AB47" si="21">SUM(W41)</f>
        <v>743400000</v>
      </c>
      <c r="X47" s="435">
        <f t="shared" si="21"/>
        <v>3910200</v>
      </c>
      <c r="Y47" s="435">
        <f t="shared" si="21"/>
        <v>3910200</v>
      </c>
      <c r="Z47" s="435">
        <f t="shared" si="21"/>
        <v>739489800</v>
      </c>
      <c r="AA47" s="435">
        <f t="shared" si="21"/>
        <v>743400000</v>
      </c>
      <c r="AB47" s="435">
        <f t="shared" si="21"/>
        <v>743400000</v>
      </c>
    </row>
    <row r="48" spans="1:28" s="406" customFormat="1" ht="18.75" customHeight="1">
      <c r="A48" s="1717" t="s">
        <v>308</v>
      </c>
      <c r="B48" s="1717"/>
      <c r="C48" s="1717"/>
      <c r="D48" s="495">
        <f t="shared" ref="D48:M48" si="22">SUM(D45:D47)</f>
        <v>0</v>
      </c>
      <c r="E48" s="334">
        <f t="shared" si="22"/>
        <v>0</v>
      </c>
      <c r="F48" s="341">
        <f t="shared" si="22"/>
        <v>0</v>
      </c>
      <c r="G48" s="351">
        <f t="shared" si="22"/>
        <v>0</v>
      </c>
      <c r="H48" s="351">
        <f t="shared" si="22"/>
        <v>0</v>
      </c>
      <c r="I48" s="496">
        <f t="shared" si="22"/>
        <v>2053432498</v>
      </c>
      <c r="J48" s="495">
        <f t="shared" si="22"/>
        <v>2063300459</v>
      </c>
      <c r="K48" s="341">
        <f t="shared" si="22"/>
        <v>-7381576</v>
      </c>
      <c r="L48" s="497">
        <f t="shared" si="22"/>
        <v>2147408132</v>
      </c>
      <c r="M48" s="497">
        <f t="shared" si="22"/>
        <v>2147408132</v>
      </c>
      <c r="N48" s="497"/>
      <c r="O48" s="497">
        <f t="shared" ref="O48:AB48" si="23">SUM(O45:O47)</f>
        <v>24646339</v>
      </c>
      <c r="P48" s="341">
        <f t="shared" si="23"/>
        <v>-4841080</v>
      </c>
      <c r="Q48" s="497">
        <f t="shared" si="23"/>
        <v>49750981</v>
      </c>
      <c r="R48" s="497">
        <f t="shared" si="23"/>
        <v>49750981</v>
      </c>
      <c r="S48" s="497">
        <f t="shared" si="23"/>
        <v>0</v>
      </c>
      <c r="T48" s="334">
        <f t="shared" si="23"/>
        <v>0</v>
      </c>
      <c r="U48" s="341">
        <f t="shared" si="23"/>
        <v>743400000</v>
      </c>
      <c r="V48" s="351">
        <f t="shared" si="23"/>
        <v>746917000</v>
      </c>
      <c r="W48" s="351">
        <f t="shared" si="23"/>
        <v>746917000</v>
      </c>
      <c r="X48" s="351">
        <f t="shared" si="23"/>
        <v>2053432498</v>
      </c>
      <c r="Y48" s="334">
        <f t="shared" si="23"/>
        <v>2087946798</v>
      </c>
      <c r="Z48" s="341">
        <f t="shared" si="23"/>
        <v>731177344</v>
      </c>
      <c r="AA48" s="334">
        <f t="shared" si="23"/>
        <v>2944076113</v>
      </c>
      <c r="AB48" s="497">
        <f t="shared" si="23"/>
        <v>2944076113</v>
      </c>
    </row>
    <row r="49" spans="1:28" s="297" customFormat="1" ht="15">
      <c r="A49" s="433"/>
      <c r="B49" s="433"/>
      <c r="C49" s="433"/>
      <c r="D49" s="433"/>
      <c r="E49" s="445"/>
      <c r="F49" s="445"/>
      <c r="G49" s="445"/>
      <c r="H49" s="445"/>
      <c r="I49" s="445"/>
      <c r="J49" s="445"/>
      <c r="K49" s="445"/>
      <c r="L49" s="445"/>
      <c r="M49" s="445"/>
      <c r="N49" s="445"/>
      <c r="O49" s="445"/>
      <c r="P49" s="445"/>
      <c r="Q49" s="445"/>
      <c r="R49" s="445"/>
      <c r="S49" s="445"/>
      <c r="T49" s="445"/>
      <c r="U49" s="445"/>
      <c r="V49" s="445"/>
      <c r="W49" s="433"/>
      <c r="X49" s="434"/>
      <c r="Y49" s="447"/>
      <c r="Z49" s="441"/>
      <c r="AA49" s="441"/>
      <c r="AB49" s="498"/>
    </row>
    <row r="50" spans="1:28" s="507" customFormat="1" ht="15">
      <c r="A50" s="499" t="s">
        <v>309</v>
      </c>
      <c r="B50" s="500"/>
      <c r="C50" s="500"/>
      <c r="D50" s="500"/>
      <c r="E50" s="501"/>
      <c r="F50" s="501"/>
      <c r="G50" s="501"/>
      <c r="H50" s="501"/>
      <c r="I50" s="501"/>
      <c r="J50" s="501"/>
      <c r="K50" s="501"/>
      <c r="L50" s="501"/>
      <c r="M50" s="501"/>
      <c r="N50" s="501"/>
      <c r="O50" s="501"/>
      <c r="P50" s="501"/>
      <c r="Q50" s="501"/>
      <c r="R50" s="501"/>
      <c r="S50" s="501"/>
      <c r="T50" s="501"/>
      <c r="U50" s="501"/>
      <c r="V50" s="501"/>
      <c r="W50" s="500"/>
      <c r="X50" s="502"/>
      <c r="Y50" s="503"/>
      <c r="Z50" s="504"/>
      <c r="AA50" s="505"/>
      <c r="AB50" s="506"/>
    </row>
    <row r="51" spans="1:28" s="507" customFormat="1" ht="15">
      <c r="A51" s="500"/>
      <c r="B51" s="500"/>
      <c r="C51" s="500"/>
      <c r="D51" s="500"/>
      <c r="E51" s="501"/>
      <c r="F51" s="501"/>
      <c r="G51" s="501"/>
      <c r="H51" s="501"/>
      <c r="I51" s="501"/>
      <c r="J51" s="501"/>
      <c r="K51" s="501"/>
      <c r="L51" s="501"/>
      <c r="M51" s="501"/>
      <c r="N51" s="501"/>
      <c r="O51" s="501"/>
      <c r="P51" s="501"/>
      <c r="Q51" s="501"/>
      <c r="R51" s="501"/>
      <c r="S51" s="501"/>
      <c r="T51" s="501"/>
      <c r="U51" s="501"/>
      <c r="V51" s="501"/>
      <c r="W51" s="500"/>
      <c r="X51" s="502"/>
      <c r="Y51" s="503"/>
      <c r="Z51" s="504"/>
      <c r="AA51" s="505"/>
      <c r="AB51" s="506"/>
    </row>
    <row r="52" spans="1:28" s="507" customFormat="1" ht="15">
      <c r="A52" s="508" t="s">
        <v>310</v>
      </c>
      <c r="B52" s="500"/>
      <c r="C52" s="500"/>
      <c r="D52" s="501"/>
      <c r="E52" s="501"/>
      <c r="F52" s="509"/>
      <c r="G52" s="501">
        <f t="shared" ref="G52:G59" si="24">SUM(E52:F52)</f>
        <v>0</v>
      </c>
      <c r="H52" s="445"/>
      <c r="I52" s="501">
        <v>0</v>
      </c>
      <c r="J52" s="501"/>
      <c r="K52" s="509"/>
      <c r="L52" s="501">
        <v>0</v>
      </c>
      <c r="M52" s="445">
        <v>0</v>
      </c>
      <c r="N52" s="445"/>
      <c r="O52" s="501"/>
      <c r="P52" s="501"/>
      <c r="Q52" s="501"/>
      <c r="R52" s="501"/>
      <c r="S52" s="501"/>
      <c r="T52" s="501"/>
      <c r="U52" s="509"/>
      <c r="V52" s="501">
        <f t="shared" ref="V52:V59" si="25">SUM(T52:U52)</f>
        <v>0</v>
      </c>
      <c r="W52" s="445">
        <f t="shared" ref="W52:W59" si="26">T52-O52</f>
        <v>0</v>
      </c>
      <c r="X52" s="503">
        <f t="shared" ref="X52:X66" si="27">SUM(D52+I52+O52)</f>
        <v>0</v>
      </c>
      <c r="Y52" s="503">
        <f t="shared" ref="Y52:Z59" si="28">SUM(E52+J52+T52)</f>
        <v>0</v>
      </c>
      <c r="Z52" s="510">
        <f t="shared" si="28"/>
        <v>0</v>
      </c>
      <c r="AA52" s="503">
        <v>0</v>
      </c>
      <c r="AB52" s="447">
        <f t="shared" ref="AB52:AB66" si="29">SUM(H52+M52+S52)</f>
        <v>0</v>
      </c>
    </row>
    <row r="53" spans="1:28" s="507" customFormat="1" ht="15">
      <c r="A53" s="508" t="s">
        <v>213</v>
      </c>
      <c r="B53" s="500"/>
      <c r="C53" s="500"/>
      <c r="D53" s="501"/>
      <c r="E53" s="501"/>
      <c r="F53" s="509"/>
      <c r="G53" s="501">
        <f t="shared" si="24"/>
        <v>0</v>
      </c>
      <c r="H53" s="445"/>
      <c r="I53" s="501">
        <v>8733497</v>
      </c>
      <c r="J53" s="501">
        <v>8733497</v>
      </c>
      <c r="K53" s="509"/>
      <c r="L53" s="501">
        <v>9357133</v>
      </c>
      <c r="M53" s="445">
        <v>9357133</v>
      </c>
      <c r="N53" s="445"/>
      <c r="O53" s="501"/>
      <c r="P53" s="501"/>
      <c r="Q53" s="501"/>
      <c r="R53" s="501"/>
      <c r="S53" s="501"/>
      <c r="T53" s="501"/>
      <c r="U53" s="509"/>
      <c r="V53" s="501">
        <f t="shared" si="25"/>
        <v>0</v>
      </c>
      <c r="W53" s="445">
        <f t="shared" si="26"/>
        <v>0</v>
      </c>
      <c r="X53" s="503">
        <f t="shared" si="27"/>
        <v>8733497</v>
      </c>
      <c r="Y53" s="503">
        <f t="shared" si="28"/>
        <v>8733497</v>
      </c>
      <c r="Z53" s="510">
        <f t="shared" si="28"/>
        <v>0</v>
      </c>
      <c r="AA53" s="503">
        <v>9357133</v>
      </c>
      <c r="AB53" s="447">
        <f t="shared" si="29"/>
        <v>9357133</v>
      </c>
    </row>
    <row r="54" spans="1:28" s="507" customFormat="1" ht="15">
      <c r="A54" s="511" t="s">
        <v>215</v>
      </c>
      <c r="B54" s="500"/>
      <c r="C54" s="500"/>
      <c r="D54" s="501"/>
      <c r="E54" s="501"/>
      <c r="F54" s="509"/>
      <c r="G54" s="501">
        <f t="shared" si="24"/>
        <v>0</v>
      </c>
      <c r="H54" s="445"/>
      <c r="I54" s="501">
        <v>34294956</v>
      </c>
      <c r="J54" s="501">
        <v>34294956</v>
      </c>
      <c r="K54" s="509"/>
      <c r="L54" s="501">
        <v>30849301</v>
      </c>
      <c r="M54" s="445">
        <v>30849301</v>
      </c>
      <c r="N54" s="445"/>
      <c r="O54" s="501"/>
      <c r="P54" s="501"/>
      <c r="Q54" s="501"/>
      <c r="R54" s="501"/>
      <c r="S54" s="501"/>
      <c r="T54" s="501"/>
      <c r="U54" s="509"/>
      <c r="V54" s="501">
        <f t="shared" si="25"/>
        <v>0</v>
      </c>
      <c r="W54" s="445">
        <f t="shared" si="26"/>
        <v>0</v>
      </c>
      <c r="X54" s="503">
        <f t="shared" si="27"/>
        <v>34294956</v>
      </c>
      <c r="Y54" s="503">
        <f t="shared" si="28"/>
        <v>34294956</v>
      </c>
      <c r="Z54" s="510">
        <f t="shared" si="28"/>
        <v>0</v>
      </c>
      <c r="AA54" s="503">
        <v>30849301</v>
      </c>
      <c r="AB54" s="447">
        <f t="shared" si="29"/>
        <v>30849301</v>
      </c>
    </row>
    <row r="55" spans="1:28" s="507" customFormat="1" ht="15">
      <c r="A55" s="511" t="s">
        <v>311</v>
      </c>
      <c r="B55" s="500"/>
      <c r="C55" s="500"/>
      <c r="D55" s="501"/>
      <c r="E55" s="501"/>
      <c r="F55" s="509"/>
      <c r="G55" s="501">
        <f t="shared" si="24"/>
        <v>0</v>
      </c>
      <c r="H55" s="445"/>
      <c r="I55" s="501">
        <v>18106032</v>
      </c>
      <c r="J55" s="501">
        <v>18106032</v>
      </c>
      <c r="K55" s="509"/>
      <c r="L55" s="501">
        <v>18494959</v>
      </c>
      <c r="M55" s="445">
        <v>18494959</v>
      </c>
      <c r="N55" s="445"/>
      <c r="O55" s="501"/>
      <c r="P55" s="501"/>
      <c r="Q55" s="501"/>
      <c r="R55" s="501"/>
      <c r="S55" s="501"/>
      <c r="T55" s="501"/>
      <c r="U55" s="509"/>
      <c r="V55" s="501">
        <f t="shared" si="25"/>
        <v>0</v>
      </c>
      <c r="W55" s="445">
        <f t="shared" si="26"/>
        <v>0</v>
      </c>
      <c r="X55" s="503">
        <f t="shared" si="27"/>
        <v>18106032</v>
      </c>
      <c r="Y55" s="503">
        <f t="shared" si="28"/>
        <v>18106032</v>
      </c>
      <c r="Z55" s="510">
        <f t="shared" si="28"/>
        <v>0</v>
      </c>
      <c r="AA55" s="503">
        <v>18494959</v>
      </c>
      <c r="AB55" s="447">
        <f t="shared" si="29"/>
        <v>18494959</v>
      </c>
    </row>
    <row r="56" spans="1:28" s="507" customFormat="1" ht="15">
      <c r="A56" s="511" t="s">
        <v>216</v>
      </c>
      <c r="B56" s="500"/>
      <c r="C56" s="500"/>
      <c r="D56" s="501"/>
      <c r="E56" s="501"/>
      <c r="F56" s="509"/>
      <c r="G56" s="501">
        <f t="shared" si="24"/>
        <v>0</v>
      </c>
      <c r="H56" s="445"/>
      <c r="I56" s="501">
        <v>18461053</v>
      </c>
      <c r="J56" s="501">
        <v>18461053</v>
      </c>
      <c r="K56" s="509"/>
      <c r="L56" s="501">
        <v>17910139</v>
      </c>
      <c r="M56" s="445">
        <v>17910139</v>
      </c>
      <c r="N56" s="445"/>
      <c r="O56" s="501"/>
      <c r="P56" s="501"/>
      <c r="Q56" s="501"/>
      <c r="R56" s="501"/>
      <c r="S56" s="501"/>
      <c r="T56" s="501"/>
      <c r="U56" s="509"/>
      <c r="V56" s="501">
        <f t="shared" si="25"/>
        <v>0</v>
      </c>
      <c r="W56" s="445">
        <f t="shared" si="26"/>
        <v>0</v>
      </c>
      <c r="X56" s="503">
        <f t="shared" si="27"/>
        <v>18461053</v>
      </c>
      <c r="Y56" s="503">
        <f t="shared" si="28"/>
        <v>18461053</v>
      </c>
      <c r="Z56" s="510">
        <f t="shared" si="28"/>
        <v>0</v>
      </c>
      <c r="AA56" s="503">
        <v>17910139</v>
      </c>
      <c r="AB56" s="447">
        <f t="shared" si="29"/>
        <v>17910139</v>
      </c>
    </row>
    <row r="57" spans="1:28" s="507" customFormat="1" ht="15">
      <c r="A57" s="511" t="s">
        <v>312</v>
      </c>
      <c r="B57" s="500"/>
      <c r="C57" s="500"/>
      <c r="D57" s="501"/>
      <c r="E57" s="501"/>
      <c r="F57" s="509"/>
      <c r="G57" s="501">
        <f t="shared" si="24"/>
        <v>0</v>
      </c>
      <c r="H57" s="445"/>
      <c r="I57" s="501">
        <v>24141377</v>
      </c>
      <c r="J57" s="501">
        <v>24141377</v>
      </c>
      <c r="K57" s="509"/>
      <c r="L57" s="501">
        <v>23977655</v>
      </c>
      <c r="M57" s="445">
        <v>23977655</v>
      </c>
      <c r="N57" s="445"/>
      <c r="O57" s="501"/>
      <c r="P57" s="501"/>
      <c r="Q57" s="501"/>
      <c r="R57" s="501"/>
      <c r="S57" s="501"/>
      <c r="T57" s="501"/>
      <c r="U57" s="509"/>
      <c r="V57" s="501">
        <f t="shared" si="25"/>
        <v>0</v>
      </c>
      <c r="W57" s="445">
        <f t="shared" si="26"/>
        <v>0</v>
      </c>
      <c r="X57" s="503">
        <f t="shared" si="27"/>
        <v>24141377</v>
      </c>
      <c r="Y57" s="503">
        <f t="shared" si="28"/>
        <v>24141377</v>
      </c>
      <c r="Z57" s="510">
        <f t="shared" si="28"/>
        <v>0</v>
      </c>
      <c r="AA57" s="503">
        <v>23977655</v>
      </c>
      <c r="AB57" s="447">
        <f t="shared" si="29"/>
        <v>23977655</v>
      </c>
    </row>
    <row r="58" spans="1:28" s="507" customFormat="1" ht="15">
      <c r="A58" s="511" t="s">
        <v>313</v>
      </c>
      <c r="B58" s="500"/>
      <c r="C58" s="500"/>
      <c r="D58" s="501"/>
      <c r="E58" s="501"/>
      <c r="F58" s="509"/>
      <c r="G58" s="501">
        <f t="shared" si="24"/>
        <v>0</v>
      </c>
      <c r="H58" s="445"/>
      <c r="I58" s="501">
        <v>11147636</v>
      </c>
      <c r="J58" s="501">
        <v>11147636</v>
      </c>
      <c r="K58" s="509"/>
      <c r="L58" s="501">
        <v>11623315</v>
      </c>
      <c r="M58" s="445">
        <v>11623315</v>
      </c>
      <c r="N58" s="445"/>
      <c r="O58" s="501"/>
      <c r="P58" s="501"/>
      <c r="Q58" s="501"/>
      <c r="R58" s="501"/>
      <c r="S58" s="501"/>
      <c r="T58" s="501"/>
      <c r="U58" s="509"/>
      <c r="V58" s="501">
        <f t="shared" si="25"/>
        <v>0</v>
      </c>
      <c r="W58" s="445">
        <f t="shared" si="26"/>
        <v>0</v>
      </c>
      <c r="X58" s="503">
        <f t="shared" si="27"/>
        <v>11147636</v>
      </c>
      <c r="Y58" s="503">
        <f t="shared" si="28"/>
        <v>11147636</v>
      </c>
      <c r="Z58" s="510">
        <f t="shared" si="28"/>
        <v>0</v>
      </c>
      <c r="AA58" s="503">
        <v>11623315</v>
      </c>
      <c r="AB58" s="447">
        <f t="shared" si="29"/>
        <v>11623315</v>
      </c>
    </row>
    <row r="59" spans="1:28" s="507" customFormat="1" ht="15">
      <c r="A59" s="511" t="s">
        <v>217</v>
      </c>
      <c r="D59" s="501"/>
      <c r="E59" s="501"/>
      <c r="F59" s="509"/>
      <c r="G59" s="501">
        <f t="shared" si="24"/>
        <v>0</v>
      </c>
      <c r="H59" s="445"/>
      <c r="I59" s="501">
        <v>0</v>
      </c>
      <c r="J59" s="501">
        <v>0</v>
      </c>
      <c r="K59" s="509"/>
      <c r="L59" s="501">
        <v>0</v>
      </c>
      <c r="M59" s="445">
        <v>0</v>
      </c>
      <c r="N59" s="445"/>
      <c r="O59" s="501"/>
      <c r="P59" s="501"/>
      <c r="Q59" s="501"/>
      <c r="R59" s="501"/>
      <c r="S59" s="501"/>
      <c r="T59" s="501"/>
      <c r="U59" s="509"/>
      <c r="V59" s="501">
        <f t="shared" si="25"/>
        <v>0</v>
      </c>
      <c r="W59" s="445">
        <f t="shared" si="26"/>
        <v>0</v>
      </c>
      <c r="X59" s="503">
        <f t="shared" si="27"/>
        <v>0</v>
      </c>
      <c r="Y59" s="503">
        <f t="shared" si="28"/>
        <v>0</v>
      </c>
      <c r="Z59" s="510">
        <f t="shared" si="28"/>
        <v>0</v>
      </c>
      <c r="AA59" s="503">
        <v>0</v>
      </c>
      <c r="AB59" s="447">
        <f t="shared" si="29"/>
        <v>0</v>
      </c>
    </row>
    <row r="60" spans="1:28" s="507" customFormat="1" ht="15">
      <c r="A60" s="511" t="s">
        <v>314</v>
      </c>
      <c r="D60" s="501"/>
      <c r="E60" s="501"/>
      <c r="F60" s="509"/>
      <c r="G60" s="501">
        <v>0</v>
      </c>
      <c r="H60" s="445"/>
      <c r="I60" s="501">
        <v>0</v>
      </c>
      <c r="J60" s="501"/>
      <c r="K60" s="509"/>
      <c r="L60" s="501">
        <v>9210928</v>
      </c>
      <c r="M60" s="445">
        <v>9210928</v>
      </c>
      <c r="N60" s="445"/>
      <c r="O60" s="501"/>
      <c r="P60" s="501"/>
      <c r="Q60" s="501"/>
      <c r="R60" s="501"/>
      <c r="S60" s="501"/>
      <c r="T60" s="501"/>
      <c r="U60" s="509"/>
      <c r="V60" s="501"/>
      <c r="W60" s="445"/>
      <c r="X60" s="503">
        <f t="shared" si="27"/>
        <v>0</v>
      </c>
      <c r="Y60" s="503"/>
      <c r="Z60" s="510"/>
      <c r="AA60" s="503">
        <v>9210928</v>
      </c>
      <c r="AB60" s="447">
        <f t="shared" si="29"/>
        <v>9210928</v>
      </c>
    </row>
    <row r="61" spans="1:28" s="507" customFormat="1" ht="15">
      <c r="A61" s="511" t="s">
        <v>218</v>
      </c>
      <c r="D61" s="501"/>
      <c r="E61" s="501"/>
      <c r="F61" s="509"/>
      <c r="G61" s="501">
        <f t="shared" ref="G61:G66" si="30">SUM(E61:F61)</f>
        <v>0</v>
      </c>
      <c r="H61" s="445"/>
      <c r="I61" s="501">
        <v>21798244</v>
      </c>
      <c r="J61" s="501">
        <v>21798244</v>
      </c>
      <c r="K61" s="509"/>
      <c r="L61" s="501">
        <v>20761141</v>
      </c>
      <c r="M61" s="445">
        <v>20761141</v>
      </c>
      <c r="N61" s="445"/>
      <c r="O61" s="501"/>
      <c r="P61" s="501"/>
      <c r="Q61" s="501"/>
      <c r="R61" s="501"/>
      <c r="S61" s="501"/>
      <c r="T61" s="501"/>
      <c r="U61" s="509"/>
      <c r="V61" s="501">
        <f t="shared" ref="V61:V66" si="31">SUM(T61:U61)</f>
        <v>0</v>
      </c>
      <c r="W61" s="445">
        <f t="shared" ref="W61:W66" si="32">T61-O61</f>
        <v>0</v>
      </c>
      <c r="X61" s="503">
        <f t="shared" si="27"/>
        <v>21798244</v>
      </c>
      <c r="Y61" s="503">
        <f t="shared" ref="Y61:Z66" si="33">SUM(E61+J61+T61)</f>
        <v>21798244</v>
      </c>
      <c r="Z61" s="510">
        <f t="shared" si="33"/>
        <v>0</v>
      </c>
      <c r="AA61" s="503">
        <v>20761141</v>
      </c>
      <c r="AB61" s="447">
        <f t="shared" si="29"/>
        <v>20761141</v>
      </c>
    </row>
    <row r="62" spans="1:28" s="507" customFormat="1" ht="15">
      <c r="A62" s="511" t="s">
        <v>315</v>
      </c>
      <c r="D62" s="501"/>
      <c r="E62" s="501"/>
      <c r="F62" s="509"/>
      <c r="G62" s="501">
        <f t="shared" si="30"/>
        <v>0</v>
      </c>
      <c r="H62" s="445"/>
      <c r="I62" s="501">
        <v>8875506</v>
      </c>
      <c r="J62" s="501">
        <v>8875506</v>
      </c>
      <c r="K62" s="509"/>
      <c r="L62" s="501">
        <v>8260594</v>
      </c>
      <c r="M62" s="445">
        <v>8260594</v>
      </c>
      <c r="N62" s="445"/>
      <c r="O62" s="501"/>
      <c r="P62" s="501"/>
      <c r="Q62" s="501"/>
      <c r="R62" s="501"/>
      <c r="S62" s="501"/>
      <c r="T62" s="501"/>
      <c r="U62" s="509"/>
      <c r="V62" s="501">
        <f t="shared" si="31"/>
        <v>0</v>
      </c>
      <c r="W62" s="445">
        <f t="shared" si="32"/>
        <v>0</v>
      </c>
      <c r="X62" s="503">
        <f t="shared" si="27"/>
        <v>8875506</v>
      </c>
      <c r="Y62" s="503">
        <f t="shared" si="33"/>
        <v>8875506</v>
      </c>
      <c r="Z62" s="510">
        <f t="shared" si="33"/>
        <v>0</v>
      </c>
      <c r="AA62" s="503">
        <v>8260594</v>
      </c>
      <c r="AB62" s="447">
        <f t="shared" si="29"/>
        <v>8260594</v>
      </c>
    </row>
    <row r="63" spans="1:28" s="507" customFormat="1" ht="15">
      <c r="A63" s="511" t="s">
        <v>316</v>
      </c>
      <c r="D63" s="512"/>
      <c r="E63" s="512"/>
      <c r="F63" s="509"/>
      <c r="G63" s="501">
        <f t="shared" si="30"/>
        <v>0</v>
      </c>
      <c r="H63" s="445"/>
      <c r="I63" s="512">
        <v>23218325</v>
      </c>
      <c r="J63" s="512">
        <v>23218325</v>
      </c>
      <c r="K63" s="509"/>
      <c r="L63" s="501">
        <v>20761141</v>
      </c>
      <c r="M63" s="445">
        <v>20761141</v>
      </c>
      <c r="N63" s="445"/>
      <c r="O63" s="512"/>
      <c r="P63" s="512"/>
      <c r="Q63" s="512"/>
      <c r="R63" s="512"/>
      <c r="S63" s="512"/>
      <c r="T63" s="512"/>
      <c r="U63" s="509"/>
      <c r="V63" s="501">
        <f t="shared" si="31"/>
        <v>0</v>
      </c>
      <c r="W63" s="445">
        <f t="shared" si="32"/>
        <v>0</v>
      </c>
      <c r="X63" s="503">
        <f t="shared" si="27"/>
        <v>23218325</v>
      </c>
      <c r="Y63" s="503">
        <f t="shared" si="33"/>
        <v>23218325</v>
      </c>
      <c r="Z63" s="510">
        <f t="shared" si="33"/>
        <v>0</v>
      </c>
      <c r="AA63" s="503">
        <v>20761141</v>
      </c>
      <c r="AB63" s="447">
        <f t="shared" si="29"/>
        <v>20761141</v>
      </c>
    </row>
    <row r="64" spans="1:28" s="507" customFormat="1" ht="15">
      <c r="A64" s="511" t="s">
        <v>317</v>
      </c>
      <c r="D64" s="512"/>
      <c r="E64" s="512"/>
      <c r="F64" s="509"/>
      <c r="G64" s="501">
        <f t="shared" si="30"/>
        <v>0</v>
      </c>
      <c r="H64" s="445"/>
      <c r="I64" s="512">
        <v>0</v>
      </c>
      <c r="J64" s="512">
        <v>0</v>
      </c>
      <c r="K64" s="509"/>
      <c r="L64" s="501">
        <v>0</v>
      </c>
      <c r="M64" s="445">
        <v>0</v>
      </c>
      <c r="N64" s="445"/>
      <c r="O64" s="512"/>
      <c r="P64" s="512"/>
      <c r="Q64" s="512"/>
      <c r="R64" s="512"/>
      <c r="S64" s="512"/>
      <c r="T64" s="512"/>
      <c r="U64" s="509"/>
      <c r="V64" s="501">
        <f t="shared" si="31"/>
        <v>0</v>
      </c>
      <c r="W64" s="445">
        <f t="shared" si="32"/>
        <v>0</v>
      </c>
      <c r="X64" s="503">
        <f t="shared" si="27"/>
        <v>0</v>
      </c>
      <c r="Y64" s="503">
        <f t="shared" si="33"/>
        <v>0</v>
      </c>
      <c r="Z64" s="510">
        <f t="shared" si="33"/>
        <v>0</v>
      </c>
      <c r="AA64" s="503">
        <v>0</v>
      </c>
      <c r="AB64" s="447">
        <f t="shared" si="29"/>
        <v>0</v>
      </c>
    </row>
    <row r="65" spans="1:28" s="507" customFormat="1" ht="15">
      <c r="A65" s="511" t="s">
        <v>206</v>
      </c>
      <c r="D65" s="512"/>
      <c r="E65" s="512"/>
      <c r="F65" s="509"/>
      <c r="G65" s="501">
        <f t="shared" si="30"/>
        <v>0</v>
      </c>
      <c r="H65" s="445"/>
      <c r="I65" s="512">
        <v>37419134</v>
      </c>
      <c r="J65" s="512">
        <v>37419134</v>
      </c>
      <c r="K65" s="509"/>
      <c r="L65" s="501">
        <v>34285122</v>
      </c>
      <c r="M65" s="445">
        <v>34285122</v>
      </c>
      <c r="N65" s="445"/>
      <c r="O65" s="512"/>
      <c r="P65" s="512"/>
      <c r="Q65" s="512"/>
      <c r="R65" s="512"/>
      <c r="S65" s="512"/>
      <c r="T65" s="512"/>
      <c r="U65" s="509"/>
      <c r="V65" s="501">
        <f t="shared" si="31"/>
        <v>0</v>
      </c>
      <c r="W65" s="445">
        <f t="shared" si="32"/>
        <v>0</v>
      </c>
      <c r="X65" s="503">
        <f t="shared" si="27"/>
        <v>37419134</v>
      </c>
      <c r="Y65" s="503">
        <f t="shared" si="33"/>
        <v>37419134</v>
      </c>
      <c r="Z65" s="510">
        <f t="shared" si="33"/>
        <v>0</v>
      </c>
      <c r="AA65" s="503">
        <v>34285122</v>
      </c>
      <c r="AB65" s="447">
        <f t="shared" si="29"/>
        <v>34285122</v>
      </c>
    </row>
    <row r="66" spans="1:28" s="507" customFormat="1" ht="15">
      <c r="A66" s="511" t="s">
        <v>207</v>
      </c>
      <c r="D66" s="512"/>
      <c r="E66" s="512"/>
      <c r="F66" s="509"/>
      <c r="G66" s="501">
        <f t="shared" si="30"/>
        <v>0</v>
      </c>
      <c r="H66" s="445"/>
      <c r="I66" s="512">
        <v>7313417</v>
      </c>
      <c r="J66" s="512">
        <v>7313417</v>
      </c>
      <c r="K66" s="509"/>
      <c r="L66" s="501">
        <v>4166848</v>
      </c>
      <c r="M66" s="445">
        <v>4166848</v>
      </c>
      <c r="N66" s="445"/>
      <c r="O66" s="512"/>
      <c r="P66" s="512"/>
      <c r="Q66" s="512"/>
      <c r="R66" s="512"/>
      <c r="S66" s="512"/>
      <c r="T66" s="512"/>
      <c r="U66" s="509"/>
      <c r="V66" s="501">
        <f t="shared" si="31"/>
        <v>0</v>
      </c>
      <c r="W66" s="445">
        <f t="shared" si="32"/>
        <v>0</v>
      </c>
      <c r="X66" s="503">
        <f t="shared" si="27"/>
        <v>7313417</v>
      </c>
      <c r="Y66" s="503">
        <f t="shared" si="33"/>
        <v>7313417</v>
      </c>
      <c r="Z66" s="510">
        <f t="shared" si="33"/>
        <v>0</v>
      </c>
      <c r="AA66" s="503">
        <v>4166848</v>
      </c>
      <c r="AB66" s="447">
        <f t="shared" si="29"/>
        <v>4166848</v>
      </c>
    </row>
    <row r="67" spans="1:28" s="507" customFormat="1" ht="15">
      <c r="E67" s="512"/>
      <c r="G67" s="512"/>
      <c r="H67" s="512"/>
      <c r="I67" s="512"/>
      <c r="J67" s="512"/>
      <c r="K67" s="512"/>
      <c r="L67" s="512"/>
      <c r="M67" s="512"/>
      <c r="N67" s="512"/>
      <c r="O67" s="512"/>
      <c r="P67" s="512"/>
      <c r="Q67" s="512"/>
      <c r="R67" s="512"/>
      <c r="S67" s="512"/>
      <c r="T67" s="512"/>
      <c r="U67" s="512"/>
      <c r="V67" s="512"/>
      <c r="X67" s="506"/>
      <c r="Y67" s="513"/>
      <c r="Z67" s="504"/>
      <c r="AA67" s="505"/>
      <c r="AB67" s="506"/>
    </row>
    <row r="68" spans="1:28" s="507" customFormat="1" ht="15">
      <c r="A68" s="514" t="s">
        <v>318</v>
      </c>
      <c r="B68" s="515"/>
      <c r="C68" s="515"/>
      <c r="D68" s="516">
        <f>SUM(D52:D67)</f>
        <v>0</v>
      </c>
      <c r="E68" s="516">
        <f>SUM(E52:E67)</f>
        <v>0</v>
      </c>
      <c r="F68" s="516">
        <f>SUM(F52:F66)</f>
        <v>0</v>
      </c>
      <c r="G68" s="516">
        <f t="shared" ref="G68:M68" si="34">SUM(G52:G67)</f>
        <v>0</v>
      </c>
      <c r="H68" s="516">
        <f t="shared" si="34"/>
        <v>0</v>
      </c>
      <c r="I68" s="516">
        <f t="shared" si="34"/>
        <v>213509177</v>
      </c>
      <c r="J68" s="516">
        <f t="shared" si="34"/>
        <v>213509177</v>
      </c>
      <c r="K68" s="516">
        <f t="shared" si="34"/>
        <v>0</v>
      </c>
      <c r="L68" s="516">
        <f t="shared" si="34"/>
        <v>209658276</v>
      </c>
      <c r="M68" s="516">
        <f t="shared" si="34"/>
        <v>209658276</v>
      </c>
      <c r="N68" s="516"/>
      <c r="O68" s="516">
        <f>SUM(O52:O67)</f>
        <v>0</v>
      </c>
      <c r="P68" s="516"/>
      <c r="Q68" s="516"/>
      <c r="R68" s="516"/>
      <c r="S68" s="516">
        <f t="shared" ref="S68:AB68" si="35">SUM(S52:S67)</f>
        <v>0</v>
      </c>
      <c r="T68" s="516">
        <f t="shared" si="35"/>
        <v>0</v>
      </c>
      <c r="U68" s="516">
        <f t="shared" si="35"/>
        <v>0</v>
      </c>
      <c r="V68" s="516">
        <f t="shared" si="35"/>
        <v>0</v>
      </c>
      <c r="W68" s="516">
        <f t="shared" si="35"/>
        <v>0</v>
      </c>
      <c r="X68" s="516">
        <f t="shared" si="35"/>
        <v>213509177</v>
      </c>
      <c r="Y68" s="516">
        <f t="shared" si="35"/>
        <v>213509177</v>
      </c>
      <c r="Z68" s="517">
        <f t="shared" si="35"/>
        <v>0</v>
      </c>
      <c r="AA68" s="517">
        <f t="shared" si="35"/>
        <v>209658276</v>
      </c>
      <c r="AB68" s="518">
        <f t="shared" si="35"/>
        <v>209658276</v>
      </c>
    </row>
    <row r="69" spans="1:28" s="297" customFormat="1" ht="15">
      <c r="E69" s="415"/>
      <c r="F69" s="415"/>
      <c r="G69" s="415"/>
      <c r="H69" s="415"/>
      <c r="I69" s="415"/>
      <c r="J69" s="415"/>
      <c r="K69" s="415"/>
      <c r="L69" s="415"/>
      <c r="M69" s="415"/>
      <c r="N69" s="415"/>
      <c r="O69" s="415"/>
      <c r="P69" s="415"/>
      <c r="Q69" s="415"/>
      <c r="R69" s="415"/>
      <c r="S69" s="415"/>
      <c r="T69" s="415"/>
      <c r="U69" s="415"/>
      <c r="V69" s="415"/>
      <c r="X69" s="498"/>
      <c r="Y69" s="519"/>
      <c r="Z69" s="520"/>
      <c r="AA69" s="520"/>
      <c r="AB69" s="498"/>
    </row>
  </sheetData>
  <sheetProtection selectLockedCells="1" selectUnlockedCells="1"/>
  <mergeCells count="19">
    <mergeCell ref="A37:C37"/>
    <mergeCell ref="A39:C39"/>
    <mergeCell ref="A48:C48"/>
    <mergeCell ref="J5:L5"/>
    <mergeCell ref="T5:V5"/>
    <mergeCell ref="A8:C8"/>
    <mergeCell ref="A31:C31"/>
    <mergeCell ref="A33:C33"/>
    <mergeCell ref="A1:AB1"/>
    <mergeCell ref="A2:AB2"/>
    <mergeCell ref="A3:C6"/>
    <mergeCell ref="D3:R3"/>
    <mergeCell ref="S3:W4"/>
    <mergeCell ref="X3:AB4"/>
    <mergeCell ref="D4:H4"/>
    <mergeCell ref="I4:M4"/>
    <mergeCell ref="N4:R4"/>
    <mergeCell ref="E5:G5"/>
    <mergeCell ref="Y5:AA5"/>
  </mergeCells>
  <printOptions horizontalCentered="1"/>
  <pageMargins left="0.19685039370078741" right="0.19685039370078741" top="0.82677165354330717" bottom="0.35433070866141736" header="0.31496062992125984" footer="0.19685039370078741"/>
  <pageSetup paperSize="9" scale="60" firstPageNumber="0" orientation="landscape" horizontalDpi="300" verticalDpi="300" r:id="rId1"/>
  <headerFooter alignWithMargins="0">
    <oddHeader>&amp;R&amp;8 &amp;"Times New Roman,Normál"2.2. m. a 2016. évi költségvetésről szóló 5/2016. (II.29.) önkormányzati rendelet végrehajtásáról szóló 11/2017. (V.3.) önkormányzati rendelethez</oddHeader>
    <oddFooter>&amp;C&amp;P</oddFooter>
  </headerFooter>
  <rowBreaks count="1" manualBreakCount="1">
    <brk id="48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S61"/>
  <sheetViews>
    <sheetView view="pageBreakPreview" zoomScaleNormal="100" zoomScaleSheetLayoutView="100" workbookViewId="0">
      <selection activeCell="V28" sqref="V28"/>
    </sheetView>
  </sheetViews>
  <sheetFormatPr defaultRowHeight="12.75"/>
  <cols>
    <col min="1" max="1" width="55.5703125" style="67" customWidth="1"/>
    <col min="2" max="2" width="15.28515625" style="67" customWidth="1"/>
    <col min="3" max="4" width="0" style="67" hidden="1" customWidth="1"/>
    <col min="5" max="5" width="16" style="67" customWidth="1"/>
    <col min="6" max="6" width="14.28515625" style="67" customWidth="1"/>
    <col min="7" max="7" width="10" style="67" customWidth="1"/>
    <col min="8" max="8" width="15.5703125" style="67" customWidth="1"/>
    <col min="9" max="10" width="0" style="67" hidden="1" customWidth="1"/>
    <col min="11" max="11" width="15.85546875" style="67" customWidth="1"/>
    <col min="12" max="12" width="17.28515625" style="67" customWidth="1"/>
    <col min="13" max="13" width="9.7109375" style="67" customWidth="1"/>
    <col min="14" max="14" width="15.42578125" style="67" customWidth="1"/>
    <col min="15" max="16" width="0" style="67" hidden="1" customWidth="1"/>
    <col min="17" max="17" width="15.140625" style="67" customWidth="1"/>
    <col min="18" max="18" width="17.5703125" style="1" customWidth="1"/>
    <col min="19" max="19" width="11.5703125" style="67" customWidth="1"/>
    <col min="20" max="16384" width="9.140625" style="1"/>
  </cols>
  <sheetData>
    <row r="1" spans="1:19" s="5" customFormat="1" ht="21.75" customHeight="1">
      <c r="A1" s="1697" t="s">
        <v>1352</v>
      </c>
      <c r="B1" s="1697"/>
      <c r="C1" s="1697"/>
      <c r="D1" s="1697"/>
      <c r="E1" s="1697"/>
      <c r="F1" s="1697"/>
      <c r="G1" s="1697"/>
      <c r="H1" s="1697"/>
      <c r="I1" s="1697"/>
      <c r="J1" s="1697"/>
      <c r="K1" s="1697"/>
      <c r="L1" s="1697"/>
      <c r="M1" s="1697"/>
      <c r="N1" s="1697"/>
      <c r="O1" s="1697"/>
      <c r="P1" s="1697"/>
      <c r="Q1" s="1697"/>
      <c r="R1" s="1697"/>
      <c r="S1" s="1697"/>
    </row>
    <row r="2" spans="1:19" ht="11.25" customHeight="1" thickBot="1">
      <c r="A2" s="521"/>
      <c r="B2" s="521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9"/>
      <c r="Q2" s="8"/>
      <c r="R2" s="9"/>
      <c r="S2" s="9" t="s">
        <v>0</v>
      </c>
    </row>
    <row r="3" spans="1:19" s="297" customFormat="1" ht="20.25" customHeight="1" thickBot="1">
      <c r="A3" s="523" t="s">
        <v>68</v>
      </c>
      <c r="B3" s="1720" t="s">
        <v>69</v>
      </c>
      <c r="C3" s="1720"/>
      <c r="D3" s="1720"/>
      <c r="E3" s="1720"/>
      <c r="F3" s="1720"/>
      <c r="G3" s="1720"/>
      <c r="H3" s="1720" t="s">
        <v>70</v>
      </c>
      <c r="I3" s="1720"/>
      <c r="J3" s="1720"/>
      <c r="K3" s="1720"/>
      <c r="L3" s="1720"/>
      <c r="M3" s="1720"/>
      <c r="N3" s="1720" t="s">
        <v>71</v>
      </c>
      <c r="O3" s="1720"/>
      <c r="P3" s="1720"/>
      <c r="Q3" s="1720"/>
      <c r="R3" s="1720"/>
      <c r="S3" s="1720"/>
    </row>
    <row r="4" spans="1:19" s="297" customFormat="1" ht="13.5" hidden="1" customHeight="1">
      <c r="A4" s="524"/>
      <c r="B4" s="1721"/>
      <c r="C4" s="1721"/>
      <c r="D4" s="1721"/>
      <c r="E4" s="1721"/>
      <c r="F4" s="1721"/>
      <c r="G4" s="525"/>
      <c r="H4" s="1722"/>
      <c r="I4" s="1722"/>
      <c r="J4" s="1722"/>
      <c r="K4" s="1722"/>
      <c r="L4" s="1722"/>
      <c r="M4" s="526"/>
      <c r="N4" s="1723"/>
      <c r="O4" s="1723"/>
      <c r="P4" s="1723"/>
      <c r="Q4" s="1723"/>
      <c r="R4" s="1723"/>
      <c r="S4" s="526"/>
    </row>
    <row r="5" spans="1:19" s="297" customFormat="1" ht="48" thickBot="1">
      <c r="A5" s="523" t="s">
        <v>72</v>
      </c>
      <c r="B5" s="11" t="s">
        <v>2</v>
      </c>
      <c r="C5" s="11" t="s">
        <v>3</v>
      </c>
      <c r="D5" s="12" t="s">
        <v>4</v>
      </c>
      <c r="E5" s="11" t="s">
        <v>5</v>
      </c>
      <c r="F5" s="12" t="s">
        <v>6</v>
      </c>
      <c r="G5" s="12" t="s">
        <v>73</v>
      </c>
      <c r="H5" s="11" t="s">
        <v>2</v>
      </c>
      <c r="I5" s="11" t="s">
        <v>3</v>
      </c>
      <c r="J5" s="12" t="s">
        <v>4</v>
      </c>
      <c r="K5" s="11" t="s">
        <v>5</v>
      </c>
      <c r="L5" s="12" t="s">
        <v>6</v>
      </c>
      <c r="M5" s="12" t="s">
        <v>73</v>
      </c>
      <c r="N5" s="11" t="s">
        <v>2</v>
      </c>
      <c r="O5" s="11" t="s">
        <v>3</v>
      </c>
      <c r="P5" s="12" t="s">
        <v>4</v>
      </c>
      <c r="Q5" s="11" t="s">
        <v>5</v>
      </c>
      <c r="R5" s="12" t="s">
        <v>6</v>
      </c>
      <c r="S5" s="12" t="s">
        <v>73</v>
      </c>
    </row>
    <row r="6" spans="1:19" s="297" customFormat="1" ht="15.75" thickBot="1">
      <c r="A6" s="527"/>
      <c r="B6" s="528" t="s">
        <v>74</v>
      </c>
      <c r="C6" s="528" t="s">
        <v>75</v>
      </c>
      <c r="D6" s="528" t="s">
        <v>76</v>
      </c>
      <c r="E6" s="528">
        <v>2</v>
      </c>
      <c r="F6" s="528">
        <v>3</v>
      </c>
      <c r="G6" s="528">
        <v>4</v>
      </c>
      <c r="H6" s="528">
        <v>5</v>
      </c>
      <c r="I6" s="528" t="s">
        <v>77</v>
      </c>
      <c r="J6" s="528" t="s">
        <v>78</v>
      </c>
      <c r="K6" s="528">
        <v>6</v>
      </c>
      <c r="L6" s="528">
        <v>7</v>
      </c>
      <c r="M6" s="528">
        <v>8</v>
      </c>
      <c r="N6" s="528">
        <v>9</v>
      </c>
      <c r="O6" s="528" t="s">
        <v>79</v>
      </c>
      <c r="P6" s="528" t="s">
        <v>80</v>
      </c>
      <c r="Q6" s="528">
        <v>10</v>
      </c>
      <c r="R6" s="528">
        <v>11</v>
      </c>
      <c r="S6" s="528">
        <v>12</v>
      </c>
    </row>
    <row r="7" spans="1:19" s="297" customFormat="1" ht="15" hidden="1">
      <c r="A7" s="529"/>
      <c r="B7" s="530"/>
      <c r="C7" s="531"/>
      <c r="D7" s="531"/>
      <c r="E7" s="531"/>
      <c r="F7" s="531"/>
      <c r="G7" s="531"/>
      <c r="H7" s="530"/>
      <c r="I7" s="531"/>
      <c r="J7" s="531"/>
      <c r="K7" s="531"/>
      <c r="L7" s="532"/>
      <c r="M7" s="531"/>
      <c r="N7" s="531"/>
      <c r="O7" s="531"/>
      <c r="P7" s="531"/>
      <c r="Q7" s="531"/>
      <c r="R7" s="533"/>
      <c r="S7" s="531"/>
    </row>
    <row r="8" spans="1:19" s="297" customFormat="1" ht="24.75" customHeight="1" thickBot="1">
      <c r="A8" s="534" t="s">
        <v>319</v>
      </c>
      <c r="B8" s="535"/>
      <c r="C8" s="531"/>
      <c r="D8" s="531"/>
      <c r="E8" s="531"/>
      <c r="F8" s="531"/>
      <c r="G8" s="536"/>
      <c r="H8" s="536"/>
      <c r="I8" s="537"/>
      <c r="J8" s="537"/>
      <c r="K8" s="537"/>
      <c r="L8" s="536"/>
      <c r="M8" s="536"/>
      <c r="N8" s="536"/>
      <c r="O8" s="538"/>
      <c r="P8" s="537"/>
      <c r="Q8" s="537"/>
      <c r="R8" s="539"/>
      <c r="S8" s="536"/>
    </row>
    <row r="9" spans="1:19" s="297" customFormat="1" ht="19.5" customHeight="1" thickBot="1">
      <c r="A9" s="540" t="s">
        <v>320</v>
      </c>
      <c r="B9" s="541">
        <f>SUM(B10:B11)</f>
        <v>4379467573</v>
      </c>
      <c r="C9" s="542">
        <f>SUM(C10:C11)</f>
        <v>4448486700</v>
      </c>
      <c r="D9" s="543">
        <f>SUM(D10:D11)</f>
        <v>34249150</v>
      </c>
      <c r="E9" s="541">
        <f>SUM(E10:E11)</f>
        <v>4662954190</v>
      </c>
      <c r="F9" s="544">
        <f>SUM(F10:F11)</f>
        <v>4441318538</v>
      </c>
      <c r="G9" s="545">
        <f t="shared" ref="G9:G15" si="0">F9/E9</f>
        <v>0.95250000000000001</v>
      </c>
      <c r="H9" s="546">
        <f>SUM(H10:H11)</f>
        <v>223260000</v>
      </c>
      <c r="I9" s="547">
        <f>SUM(I10:I11)</f>
        <v>218846232</v>
      </c>
      <c r="J9" s="547">
        <f>SUM(J10:J11)</f>
        <v>-660174</v>
      </c>
      <c r="K9" s="547">
        <f>SUM(K10:K11)</f>
        <v>217852309</v>
      </c>
      <c r="L9" s="546">
        <f>SUM(L10:L11)</f>
        <v>174211576</v>
      </c>
      <c r="M9" s="545">
        <f t="shared" ref="M9:M14" si="1">L9/K9</f>
        <v>0.79969999999999997</v>
      </c>
      <c r="N9" s="546">
        <f t="shared" ref="N9:N17" si="2">SUM(B9+H9)</f>
        <v>4602727573</v>
      </c>
      <c r="O9" s="548">
        <f t="shared" ref="O9:O17" si="3">SUM(C9+I9)</f>
        <v>4667332932</v>
      </c>
      <c r="P9" s="548">
        <f t="shared" ref="P9:P17" si="4">SUM(D9+J9)</f>
        <v>33588976</v>
      </c>
      <c r="Q9" s="546">
        <f t="shared" ref="Q9:Q17" si="5">SUM(E9+K9)</f>
        <v>4880806499</v>
      </c>
      <c r="R9" s="548">
        <f t="shared" ref="R9:R17" si="6">SUM(F9+L9)</f>
        <v>4615530114</v>
      </c>
      <c r="S9" s="545">
        <f t="shared" ref="S9:S15" si="7">R9/Q9</f>
        <v>0.9456</v>
      </c>
    </row>
    <row r="10" spans="1:19" s="297" customFormat="1" ht="15">
      <c r="A10" s="549" t="s">
        <v>321</v>
      </c>
      <c r="B10" s="550">
        <f>SUM('4 a Intézmények'!CD19+'4 ba Polg Hiv'!BC23)</f>
        <v>4277188573</v>
      </c>
      <c r="C10" s="551">
        <f>SUM('4 a Intézmények'!CE19+'4 ba Polg Hiv'!BD23)</f>
        <v>4344276794</v>
      </c>
      <c r="D10" s="552">
        <f>SUM('4 a Intézmények'!CF19+'4 ba Polg Hiv'!BE23)</f>
        <v>33918441</v>
      </c>
      <c r="E10" s="550">
        <f>SUM('4 a Intézmények'!CG19+'4 ba Polg Hiv'!BF23)</f>
        <v>4543335062</v>
      </c>
      <c r="F10" s="553">
        <f>SUM('4 a Intézmények'!CH19+'4 ba Polg Hiv'!BG23)</f>
        <v>4342739610</v>
      </c>
      <c r="G10" s="554">
        <f t="shared" si="0"/>
        <v>0.95579999999999998</v>
      </c>
      <c r="H10" s="550">
        <f>'4 bbb Önkorm'!BO19</f>
        <v>42448000</v>
      </c>
      <c r="I10" s="555">
        <f>'4 bbb Önkorm'!BP19</f>
        <v>32125736</v>
      </c>
      <c r="J10" s="556">
        <f>'4 bbb Önkorm'!BQ19</f>
        <v>-2257049</v>
      </c>
      <c r="K10" s="557">
        <f>'4 bbb Önkorm'!BR19</f>
        <v>17745632</v>
      </c>
      <c r="L10" s="550">
        <f>'4 bbb Önkorm'!BS19</f>
        <v>0</v>
      </c>
      <c r="M10" s="554">
        <f t="shared" si="1"/>
        <v>0</v>
      </c>
      <c r="N10" s="550">
        <f t="shared" si="2"/>
        <v>4319636573</v>
      </c>
      <c r="O10" s="553">
        <f t="shared" si="3"/>
        <v>4376402530</v>
      </c>
      <c r="P10" s="553">
        <f t="shared" si="4"/>
        <v>31661392</v>
      </c>
      <c r="Q10" s="550">
        <f t="shared" si="5"/>
        <v>4561080694</v>
      </c>
      <c r="R10" s="553">
        <f t="shared" si="6"/>
        <v>4342739610</v>
      </c>
      <c r="S10" s="554">
        <f t="shared" si="7"/>
        <v>0.95209999999999995</v>
      </c>
    </row>
    <row r="11" spans="1:19" s="297" customFormat="1" ht="15">
      <c r="A11" s="558" t="s">
        <v>322</v>
      </c>
      <c r="B11" s="559">
        <f>SUM('4 a Intézmények'!CD20+'4 ba Polg Hiv'!BC24)</f>
        <v>102279000</v>
      </c>
      <c r="C11" s="560">
        <f>SUM('4 a Intézmények'!CE20+'4 ba Polg Hiv'!BD24)</f>
        <v>104209906</v>
      </c>
      <c r="D11" s="561">
        <f>SUM('4 a Intézmények'!CF20+'4 ba Polg Hiv'!BE24)</f>
        <v>330709</v>
      </c>
      <c r="E11" s="562">
        <f>SUM('4 a Intézmények'!CG20+'4 ba Polg Hiv'!BF24)</f>
        <v>119619128</v>
      </c>
      <c r="F11" s="563">
        <f>SUM('4 a Intézmények'!CH20+'4 ba Polg Hiv'!BG24)</f>
        <v>98578928</v>
      </c>
      <c r="G11" s="564">
        <f t="shared" si="0"/>
        <v>0.82410000000000005</v>
      </c>
      <c r="H11" s="562">
        <f>'4 bbb Önkorm'!BO20</f>
        <v>180812000</v>
      </c>
      <c r="I11" s="565">
        <f>'4 bbb Önkorm'!BP20</f>
        <v>186720496</v>
      </c>
      <c r="J11" s="566">
        <f>'4 bbb Önkorm'!BQ20</f>
        <v>1596875</v>
      </c>
      <c r="K11" s="567">
        <f>'4 bbb Önkorm'!BR20</f>
        <v>200106677</v>
      </c>
      <c r="L11" s="562">
        <f>'4 bbb Önkorm'!BS20</f>
        <v>174211576</v>
      </c>
      <c r="M11" s="564">
        <f t="shared" si="1"/>
        <v>0.87060000000000004</v>
      </c>
      <c r="N11" s="562">
        <f t="shared" si="2"/>
        <v>283091000</v>
      </c>
      <c r="O11" s="563">
        <f t="shared" si="3"/>
        <v>290930402</v>
      </c>
      <c r="P11" s="563">
        <f t="shared" si="4"/>
        <v>1927584</v>
      </c>
      <c r="Q11" s="562">
        <f t="shared" si="5"/>
        <v>319725805</v>
      </c>
      <c r="R11" s="563">
        <f t="shared" si="6"/>
        <v>272790504</v>
      </c>
      <c r="S11" s="564">
        <f t="shared" si="7"/>
        <v>0.85319999999999996</v>
      </c>
    </row>
    <row r="12" spans="1:19" s="297" customFormat="1" ht="18.75" customHeight="1">
      <c r="A12" s="568" t="s">
        <v>323</v>
      </c>
      <c r="B12" s="569">
        <f>SUM('4 a Intézmények'!CD21+'4 ba Polg Hiv'!BC25)</f>
        <v>1264038888</v>
      </c>
      <c r="C12" s="570">
        <f>SUM('4 a Intézmények'!CE21+'4 ba Polg Hiv'!BD25)</f>
        <v>1296661126</v>
      </c>
      <c r="D12" s="571">
        <f>SUM('4 a Intézmények'!CF21+'4 ba Polg Hiv'!BE25)</f>
        <v>9428667</v>
      </c>
      <c r="E12" s="569">
        <f>SUM('4 a Intézmények'!CG21+'4 ba Polg Hiv'!BF25)</f>
        <v>1341964291</v>
      </c>
      <c r="F12" s="572">
        <f>SUM('4 a Intézmények'!CH21+'4 ba Polg Hiv'!BG25)</f>
        <v>1274274647</v>
      </c>
      <c r="G12" s="573">
        <f t="shared" si="0"/>
        <v>0.9496</v>
      </c>
      <c r="H12" s="574">
        <f>'4 bbb Önkorm'!BO21</f>
        <v>67399000</v>
      </c>
      <c r="I12" s="575">
        <f>'4 bbb Önkorm'!BP21</f>
        <v>67823235</v>
      </c>
      <c r="J12" s="575">
        <f>'4 bbb Önkorm'!BQ21</f>
        <v>42049</v>
      </c>
      <c r="K12" s="575">
        <f>'4 bbb Önkorm'!BR21</f>
        <v>70782487</v>
      </c>
      <c r="L12" s="574">
        <f>'4 bbb Önkorm'!BS21</f>
        <v>53317545</v>
      </c>
      <c r="M12" s="573">
        <f t="shared" si="1"/>
        <v>0.75329999999999997</v>
      </c>
      <c r="N12" s="576">
        <f t="shared" si="2"/>
        <v>1331437888</v>
      </c>
      <c r="O12" s="577">
        <f t="shared" si="3"/>
        <v>1364484361</v>
      </c>
      <c r="P12" s="577">
        <f t="shared" si="4"/>
        <v>9470716</v>
      </c>
      <c r="Q12" s="576">
        <f t="shared" si="5"/>
        <v>1412746778</v>
      </c>
      <c r="R12" s="577">
        <f t="shared" si="6"/>
        <v>1327592192</v>
      </c>
      <c r="S12" s="573">
        <f t="shared" si="7"/>
        <v>0.93969999999999998</v>
      </c>
    </row>
    <row r="13" spans="1:19" s="297" customFormat="1" ht="18.75" customHeight="1">
      <c r="A13" s="578" t="s">
        <v>324</v>
      </c>
      <c r="B13" s="579">
        <f>SUM(B14:B16)</f>
        <v>3333959624</v>
      </c>
      <c r="C13" s="580">
        <f>SUM(C14:C16)</f>
        <v>3497424159</v>
      </c>
      <c r="D13" s="581">
        <f>SUM(D14:D16)</f>
        <v>-47833212</v>
      </c>
      <c r="E13" s="579">
        <f>SUM(E14:E16)</f>
        <v>3474471861</v>
      </c>
      <c r="F13" s="582">
        <f>SUM(F14:F16)</f>
        <v>2949753336</v>
      </c>
      <c r="G13" s="583">
        <f t="shared" si="0"/>
        <v>0.84899999999999998</v>
      </c>
      <c r="H13" s="574">
        <f>SUM(H14:H16)</f>
        <v>2272704200</v>
      </c>
      <c r="I13" s="575">
        <f>SUM(I14:I16)</f>
        <v>2387062381</v>
      </c>
      <c r="J13" s="575">
        <f>SUM(J14:J16)</f>
        <v>9627150</v>
      </c>
      <c r="K13" s="575">
        <f>SUM(K14:K16)</f>
        <v>2772676989</v>
      </c>
      <c r="L13" s="574">
        <f>SUM(L14:L16)</f>
        <v>2195154949</v>
      </c>
      <c r="M13" s="583">
        <f t="shared" si="1"/>
        <v>0.79169999999999996</v>
      </c>
      <c r="N13" s="574">
        <f t="shared" si="2"/>
        <v>5606663824</v>
      </c>
      <c r="O13" s="584">
        <f t="shared" si="3"/>
        <v>5884486540</v>
      </c>
      <c r="P13" s="584">
        <f t="shared" si="4"/>
        <v>-38206062</v>
      </c>
      <c r="Q13" s="574">
        <f t="shared" si="5"/>
        <v>6247148850</v>
      </c>
      <c r="R13" s="584">
        <f t="shared" si="6"/>
        <v>5144908285</v>
      </c>
      <c r="S13" s="583">
        <f t="shared" si="7"/>
        <v>0.8236</v>
      </c>
    </row>
    <row r="14" spans="1:19" s="297" customFormat="1" ht="15">
      <c r="A14" s="585" t="s">
        <v>325</v>
      </c>
      <c r="B14" s="586">
        <f>SUM('4 a Intézmények'!CD25+'4 ba Polg Hiv'!BC29)</f>
        <v>2534831571</v>
      </c>
      <c r="C14" s="587">
        <f>SUM('4 a Intézmények'!CE25+'4 ba Polg Hiv'!BD29)</f>
        <v>2668500161</v>
      </c>
      <c r="D14" s="446">
        <f>SUM('4 a Intézmények'!CF25+'4 ba Polg Hiv'!BE29)</f>
        <v>-47750412</v>
      </c>
      <c r="E14" s="588">
        <f>SUM('4 a Intézmények'!CG25+'4 ba Polg Hiv'!BF29)</f>
        <v>2656227310</v>
      </c>
      <c r="F14" s="589">
        <f>SUM('4 a Intézmények'!CH25+'4 ba Polg Hiv'!BG29)</f>
        <v>2175800566</v>
      </c>
      <c r="G14" s="590">
        <f t="shared" si="0"/>
        <v>0.81910000000000005</v>
      </c>
      <c r="H14" s="588">
        <f>'4 bbb Önkorm'!BO25</f>
        <v>2272704200</v>
      </c>
      <c r="I14" s="591">
        <f>'4 bbb Önkorm'!BP25</f>
        <v>2387062381</v>
      </c>
      <c r="J14" s="592">
        <f>'4 bbb Önkorm'!BQ25</f>
        <v>9627150</v>
      </c>
      <c r="K14" s="593">
        <f>'4 bbb Önkorm'!BR25</f>
        <v>2772676989</v>
      </c>
      <c r="L14" s="588">
        <f>'4 bbb Önkorm'!BS25</f>
        <v>2195154949</v>
      </c>
      <c r="M14" s="590">
        <f t="shared" si="1"/>
        <v>0.79169999999999996</v>
      </c>
      <c r="N14" s="550">
        <f t="shared" si="2"/>
        <v>4807535771</v>
      </c>
      <c r="O14" s="553">
        <f t="shared" si="3"/>
        <v>5055562542</v>
      </c>
      <c r="P14" s="553">
        <f t="shared" si="4"/>
        <v>-38123262</v>
      </c>
      <c r="Q14" s="550">
        <f t="shared" si="5"/>
        <v>5428904299</v>
      </c>
      <c r="R14" s="553">
        <f t="shared" si="6"/>
        <v>4370955515</v>
      </c>
      <c r="S14" s="590">
        <f t="shared" si="7"/>
        <v>0.80510000000000004</v>
      </c>
    </row>
    <row r="15" spans="1:19" s="297" customFormat="1" ht="15">
      <c r="A15" s="585" t="s">
        <v>326</v>
      </c>
      <c r="B15" s="586">
        <f>SUM('4 a Intézmények'!CD23)</f>
        <v>799128053</v>
      </c>
      <c r="C15" s="587">
        <f>SUM('4 a Intézmények'!CE23)</f>
        <v>828923998</v>
      </c>
      <c r="D15" s="446">
        <f>SUM('4 a Intézmények'!CF23)</f>
        <v>-82800</v>
      </c>
      <c r="E15" s="588">
        <f>SUM('4 a Intézmények'!CG23)</f>
        <v>818244551</v>
      </c>
      <c r="F15" s="589">
        <f>SUM('4 a Intézmények'!CH23)</f>
        <v>773952770</v>
      </c>
      <c r="G15" s="590">
        <f t="shared" si="0"/>
        <v>0.94589999999999996</v>
      </c>
      <c r="H15" s="588">
        <f>'4 bbb Önkorm'!BO23</f>
        <v>0</v>
      </c>
      <c r="I15" s="591">
        <f>'4 bbb Önkorm'!BP23</f>
        <v>0</v>
      </c>
      <c r="J15" s="594">
        <f>'4 bbb Önkorm'!BQ23</f>
        <v>0</v>
      </c>
      <c r="K15" s="593">
        <f>'4 bbb Önkorm'!BR23</f>
        <v>0</v>
      </c>
      <c r="L15" s="588">
        <f>'4 bbb Önkorm'!BS23</f>
        <v>0</v>
      </c>
      <c r="M15" s="590"/>
      <c r="N15" s="588">
        <f t="shared" si="2"/>
        <v>799128053</v>
      </c>
      <c r="O15" s="589">
        <f t="shared" si="3"/>
        <v>828923998</v>
      </c>
      <c r="P15" s="589">
        <f t="shared" si="4"/>
        <v>-82800</v>
      </c>
      <c r="Q15" s="588">
        <f t="shared" si="5"/>
        <v>818244551</v>
      </c>
      <c r="R15" s="589">
        <f t="shared" si="6"/>
        <v>773952770</v>
      </c>
      <c r="S15" s="590">
        <f t="shared" si="7"/>
        <v>0.94589999999999996</v>
      </c>
    </row>
    <row r="16" spans="1:19" s="297" customFormat="1" ht="15">
      <c r="A16" s="585" t="s">
        <v>327</v>
      </c>
      <c r="B16" s="586">
        <f>SUM('4 a Intézmények'!CD24)</f>
        <v>0</v>
      </c>
      <c r="C16" s="587">
        <f>SUM('4 a Intézmények'!CE24)</f>
        <v>0</v>
      </c>
      <c r="D16" s="446">
        <f>SUM('4 a Intézmények'!CF24)</f>
        <v>0</v>
      </c>
      <c r="E16" s="562">
        <f>SUM('4 a Intézmények'!CG24)</f>
        <v>0</v>
      </c>
      <c r="F16" s="589">
        <f>SUM('4 a Intézmények'!CH24)</f>
        <v>0</v>
      </c>
      <c r="G16" s="590"/>
      <c r="H16" s="588">
        <f>'4 bbb Önkorm'!BO24</f>
        <v>0</v>
      </c>
      <c r="I16" s="591">
        <f>'4 bbb Önkorm'!BP24</f>
        <v>0</v>
      </c>
      <c r="J16" s="594">
        <f>'4 bbb Önkorm'!BQ24</f>
        <v>0</v>
      </c>
      <c r="K16" s="593">
        <f>'4 bbb Önkorm'!BR24</f>
        <v>0</v>
      </c>
      <c r="L16" s="588">
        <f>'4 bbb Önkorm'!BS24</f>
        <v>0</v>
      </c>
      <c r="M16" s="590"/>
      <c r="N16" s="588">
        <f t="shared" si="2"/>
        <v>0</v>
      </c>
      <c r="O16" s="589">
        <f t="shared" si="3"/>
        <v>0</v>
      </c>
      <c r="P16" s="589">
        <f t="shared" si="4"/>
        <v>0</v>
      </c>
      <c r="Q16" s="588">
        <f t="shared" si="5"/>
        <v>0</v>
      </c>
      <c r="R16" s="589">
        <f t="shared" si="6"/>
        <v>0</v>
      </c>
      <c r="S16" s="590"/>
    </row>
    <row r="17" spans="1:19" s="297" customFormat="1" ht="17.25" customHeight="1">
      <c r="A17" s="595" t="s">
        <v>328</v>
      </c>
      <c r="B17" s="579">
        <f>SUM('4 a Intézmények'!CD26+'4 ba Polg Hiv'!BC30)</f>
        <v>0</v>
      </c>
      <c r="C17" s="580">
        <f>SUM('4 a Intézmények'!CE26+'4 ba Polg Hiv'!BD30)</f>
        <v>0</v>
      </c>
      <c r="D17" s="581">
        <f>SUM('4 a Intézmények'!CF26+'4 ba Polg Hiv'!BE30)</f>
        <v>0</v>
      </c>
      <c r="E17" s="579">
        <f>SUM('4 a Intézmények'!CG26+'4 ba Polg Hiv'!BF30)</f>
        <v>108225</v>
      </c>
      <c r="F17" s="582">
        <f>SUM('4 a Intézmények'!CH26+'4 ba Polg Hiv'!BG30)</f>
        <v>108225</v>
      </c>
      <c r="G17" s="583"/>
      <c r="H17" s="574">
        <f>'4 bbb Önkorm'!BO26</f>
        <v>334589000</v>
      </c>
      <c r="I17" s="575">
        <f>'4 bbb Önkorm'!BP26</f>
        <v>334949000</v>
      </c>
      <c r="J17" s="575">
        <f>'4 bbb Önkorm'!BQ26</f>
        <v>160000</v>
      </c>
      <c r="K17" s="575">
        <f>'4 bbb Önkorm'!BR26</f>
        <v>344173514</v>
      </c>
      <c r="L17" s="574">
        <f>'4 bbb Önkorm'!BS26</f>
        <v>245333828</v>
      </c>
      <c r="M17" s="583">
        <f>L17/K17</f>
        <v>0.71279999999999999</v>
      </c>
      <c r="N17" s="574">
        <f t="shared" si="2"/>
        <v>334589000</v>
      </c>
      <c r="O17" s="584">
        <f t="shared" si="3"/>
        <v>334949000</v>
      </c>
      <c r="P17" s="584">
        <f t="shared" si="4"/>
        <v>160000</v>
      </c>
      <c r="Q17" s="574">
        <f t="shared" si="5"/>
        <v>344281739</v>
      </c>
      <c r="R17" s="584">
        <f t="shared" si="6"/>
        <v>245442053</v>
      </c>
      <c r="S17" s="583">
        <f>R17/Q17</f>
        <v>0.71289999999999998</v>
      </c>
    </row>
    <row r="18" spans="1:19" s="297" customFormat="1" ht="17.25" customHeight="1">
      <c r="A18" s="595" t="s">
        <v>329</v>
      </c>
      <c r="B18" s="574">
        <f>SUM(B19:B25)</f>
        <v>0</v>
      </c>
      <c r="C18" s="596">
        <f>SUM(C19:C25)</f>
        <v>52257876</v>
      </c>
      <c r="D18" s="597">
        <f>SUM(D19:D25)</f>
        <v>0</v>
      </c>
      <c r="E18" s="574">
        <f>SUM(E19:E25)</f>
        <v>53364415</v>
      </c>
      <c r="F18" s="584">
        <f>SUM(F19:F25)</f>
        <v>53364415</v>
      </c>
      <c r="G18" s="583">
        <f>F18/E18</f>
        <v>1</v>
      </c>
      <c r="H18" s="574">
        <f>SUM(H19:H25)</f>
        <v>557368000</v>
      </c>
      <c r="I18" s="575">
        <f>SUM(I19:I25)</f>
        <v>1466650749</v>
      </c>
      <c r="J18" s="575">
        <f>SUM(J19:J25)</f>
        <v>170308965</v>
      </c>
      <c r="K18" s="575">
        <f>SUM(K19:K25)</f>
        <v>2141830587</v>
      </c>
      <c r="L18" s="574">
        <f>SUM(L19:L25)</f>
        <v>323804368</v>
      </c>
      <c r="M18" s="583">
        <f>L18/K18</f>
        <v>0.1512</v>
      </c>
      <c r="N18" s="574">
        <f>SUM(N19:N25)</f>
        <v>557368000</v>
      </c>
      <c r="O18" s="584">
        <f>SUM(O19:O25)</f>
        <v>1518908625</v>
      </c>
      <c r="P18" s="584">
        <f>SUM(P19:P25)</f>
        <v>170308965</v>
      </c>
      <c r="Q18" s="574">
        <f>SUM(Q19:Q25)</f>
        <v>2195195002</v>
      </c>
      <c r="R18" s="584">
        <f>SUM(R19:R25)</f>
        <v>377168783</v>
      </c>
      <c r="S18" s="583">
        <f>R18/Q18</f>
        <v>0.17180000000000001</v>
      </c>
    </row>
    <row r="19" spans="1:19" s="297" customFormat="1" ht="15" customHeight="1">
      <c r="A19" s="598" t="s">
        <v>330</v>
      </c>
      <c r="B19" s="541"/>
      <c r="C19" s="551">
        <f>'4 ba Polg Hiv'!BD32+'4 a Intézmények'!CE28</f>
        <v>52257876</v>
      </c>
      <c r="D19" s="599">
        <f>'4 ba Polg Hiv'!BE32+'4 a Intézmények'!CF28</f>
        <v>0</v>
      </c>
      <c r="E19" s="550">
        <f>'4 a Intézmények'!CG28</f>
        <v>52257876</v>
      </c>
      <c r="F19" s="553">
        <f>'4 a Intézmények'!CH28</f>
        <v>52257876</v>
      </c>
      <c r="G19" s="590">
        <f>F19/E19</f>
        <v>1</v>
      </c>
      <c r="H19" s="588">
        <f>'4 bbb Önkorm'!BO28</f>
        <v>0</v>
      </c>
      <c r="I19" s="591">
        <f>'4 bbb Önkorm'!BP28</f>
        <v>0</v>
      </c>
      <c r="J19" s="592">
        <f>'4 bbb Önkorm'!BQ28</f>
        <v>0</v>
      </c>
      <c r="K19" s="593">
        <f>'4 bbb Önkorm'!BR28</f>
        <v>45682781</v>
      </c>
      <c r="L19" s="588">
        <f>'4 bbb Önkorm'!BS28</f>
        <v>0</v>
      </c>
      <c r="M19" s="590"/>
      <c r="N19" s="550">
        <f t="shared" ref="N19:R25" si="8">SUM(B19+H19)</f>
        <v>0</v>
      </c>
      <c r="O19" s="553">
        <f t="shared" si="8"/>
        <v>52257876</v>
      </c>
      <c r="P19" s="553">
        <f t="shared" si="8"/>
        <v>0</v>
      </c>
      <c r="Q19" s="550">
        <f t="shared" si="8"/>
        <v>97940657</v>
      </c>
      <c r="R19" s="553">
        <f t="shared" si="8"/>
        <v>52257876</v>
      </c>
      <c r="S19" s="590"/>
    </row>
    <row r="20" spans="1:19" s="297" customFormat="1" ht="15" customHeight="1">
      <c r="A20" s="598" t="s">
        <v>331</v>
      </c>
      <c r="B20" s="586">
        <f>'4 ba Polg Hiv'!BC33+'4 a Intézmények'!CD29</f>
        <v>0</v>
      </c>
      <c r="C20" s="587">
        <f>'4 ba Polg Hiv'!BD33+'4 a Intézmények'!CE29</f>
        <v>0</v>
      </c>
      <c r="D20" s="600">
        <f>'4 ba Polg Hiv'!BE33+'4 a Intézmények'!CF29</f>
        <v>0</v>
      </c>
      <c r="E20" s="588">
        <f t="shared" ref="E20:E25" si="9">SUM(C20:D20)</f>
        <v>0</v>
      </c>
      <c r="F20" s="589">
        <f t="shared" ref="F20:F25" si="10">C20-B20</f>
        <v>0</v>
      </c>
      <c r="G20" s="590"/>
      <c r="H20" s="588">
        <f>'4 bbb Önkorm'!BO29</f>
        <v>34844000</v>
      </c>
      <c r="I20" s="591">
        <f>'4 bbb Önkorm'!BP29</f>
        <v>43244000</v>
      </c>
      <c r="J20" s="592">
        <f>'4 bbb Önkorm'!BQ29</f>
        <v>-2558790</v>
      </c>
      <c r="K20" s="593">
        <f>'4 bbb Önkorm'!BR29</f>
        <v>41304072</v>
      </c>
      <c r="L20" s="588">
        <f>'4 bbb Önkorm'!BS29</f>
        <v>39460031</v>
      </c>
      <c r="M20" s="590">
        <f>L20/K20</f>
        <v>0.95540000000000003</v>
      </c>
      <c r="N20" s="588">
        <f t="shared" si="8"/>
        <v>34844000</v>
      </c>
      <c r="O20" s="589">
        <f t="shared" si="8"/>
        <v>43244000</v>
      </c>
      <c r="P20" s="589">
        <f t="shared" si="8"/>
        <v>-2558790</v>
      </c>
      <c r="Q20" s="588">
        <f t="shared" si="8"/>
        <v>41304072</v>
      </c>
      <c r="R20" s="589">
        <f t="shared" si="8"/>
        <v>39460031</v>
      </c>
      <c r="S20" s="590">
        <f>R20/Q20</f>
        <v>0.95540000000000003</v>
      </c>
    </row>
    <row r="21" spans="1:19" s="297" customFormat="1" ht="15" customHeight="1">
      <c r="A21" s="598" t="s">
        <v>332</v>
      </c>
      <c r="B21" s="586"/>
      <c r="C21" s="587"/>
      <c r="D21" s="446"/>
      <c r="E21" s="588">
        <f>'4 ba Polg Hiv'!BF33</f>
        <v>666532</v>
      </c>
      <c r="F21" s="588">
        <f>'4 ba Polg Hiv'!BG33</f>
        <v>666532</v>
      </c>
      <c r="G21" s="590"/>
      <c r="H21" s="588">
        <f>'4 bbb Önkorm'!BO30</f>
        <v>0</v>
      </c>
      <c r="I21" s="591">
        <f>'4 bbb Önkorm'!BP30</f>
        <v>0</v>
      </c>
      <c r="J21" s="592">
        <f>'4 bbb Önkorm'!BQ30</f>
        <v>0</v>
      </c>
      <c r="K21" s="593">
        <f>'4 bbb Önkorm'!BR30</f>
        <v>0</v>
      </c>
      <c r="L21" s="588">
        <f>'4 bbb Önkorm'!BS30</f>
        <v>0</v>
      </c>
      <c r="M21" s="590"/>
      <c r="N21" s="588">
        <f t="shared" si="8"/>
        <v>0</v>
      </c>
      <c r="O21" s="589">
        <f t="shared" si="8"/>
        <v>0</v>
      </c>
      <c r="P21" s="589">
        <f t="shared" si="8"/>
        <v>0</v>
      </c>
      <c r="Q21" s="588">
        <f t="shared" si="8"/>
        <v>666532</v>
      </c>
      <c r="R21" s="589">
        <f t="shared" si="8"/>
        <v>666532</v>
      </c>
      <c r="S21" s="590"/>
    </row>
    <row r="22" spans="1:19" s="297" customFormat="1" ht="15" customHeight="1">
      <c r="A22" s="598" t="s">
        <v>333</v>
      </c>
      <c r="B22" s="586">
        <f>'4 ba Polg Hiv'!BC35+'4 a Intézmények'!CD31</f>
        <v>0</v>
      </c>
      <c r="C22" s="587">
        <f>'4 ba Polg Hiv'!BD35+'4 a Intézmények'!CE31</f>
        <v>0</v>
      </c>
      <c r="D22" s="446">
        <f>'4 ba Polg Hiv'!BE35+'4 a Intézmények'!CF31</f>
        <v>0</v>
      </c>
      <c r="E22" s="588">
        <f>'4 ba Polg Hiv'!BF35</f>
        <v>440007</v>
      </c>
      <c r="F22" s="588">
        <f>'4 ba Polg Hiv'!BG35</f>
        <v>440007</v>
      </c>
      <c r="G22" s="590"/>
      <c r="H22" s="588">
        <f>'4 bbb Önkorm'!BO31</f>
        <v>224434000</v>
      </c>
      <c r="I22" s="591">
        <f>'4 bbb Önkorm'!BP31</f>
        <v>248372848</v>
      </c>
      <c r="J22" s="592">
        <f>'4 bbb Önkorm'!BQ31</f>
        <v>30383756</v>
      </c>
      <c r="K22" s="593">
        <f>'4 bbb Önkorm'!BR31</f>
        <v>287746555</v>
      </c>
      <c r="L22" s="588">
        <f>'4 bbb Önkorm'!BS31</f>
        <v>284344337</v>
      </c>
      <c r="M22" s="590">
        <f t="shared" ref="M22:M27" si="11">L22/K22</f>
        <v>0.98819999999999997</v>
      </c>
      <c r="N22" s="588">
        <f t="shared" si="8"/>
        <v>224434000</v>
      </c>
      <c r="O22" s="589">
        <f t="shared" si="8"/>
        <v>248372848</v>
      </c>
      <c r="P22" s="589">
        <f t="shared" si="8"/>
        <v>30383756</v>
      </c>
      <c r="Q22" s="588">
        <f t="shared" si="8"/>
        <v>288186562</v>
      </c>
      <c r="R22" s="589">
        <f t="shared" si="8"/>
        <v>284784344</v>
      </c>
      <c r="S22" s="590">
        <f t="shared" ref="S22:S27" si="12">R22/Q22</f>
        <v>0.98819999999999997</v>
      </c>
    </row>
    <row r="23" spans="1:19" s="297" customFormat="1" ht="15" customHeight="1">
      <c r="A23" s="598" t="s">
        <v>334</v>
      </c>
      <c r="B23" s="598"/>
      <c r="C23" s="587"/>
      <c r="D23" s="446"/>
      <c r="E23" s="588">
        <f t="shared" si="9"/>
        <v>0</v>
      </c>
      <c r="F23" s="589">
        <f t="shared" si="10"/>
        <v>0</v>
      </c>
      <c r="G23" s="590"/>
      <c r="H23" s="588">
        <f>'4 bbb Önkorm'!BO32</f>
        <v>2000000</v>
      </c>
      <c r="I23" s="591">
        <f>'4 bbb Önkorm'!BP32</f>
        <v>2000000</v>
      </c>
      <c r="J23" s="592">
        <f>'4 bbb Önkorm'!BQ32</f>
        <v>0</v>
      </c>
      <c r="K23" s="593">
        <f>'4 bbb Önkorm'!BR32</f>
        <v>2000000</v>
      </c>
      <c r="L23" s="588">
        <f>'4 bbb Önkorm'!BS32</f>
        <v>0</v>
      </c>
      <c r="M23" s="590">
        <f t="shared" si="11"/>
        <v>0</v>
      </c>
      <c r="N23" s="588">
        <f t="shared" si="8"/>
        <v>2000000</v>
      </c>
      <c r="O23" s="589">
        <f t="shared" si="8"/>
        <v>2000000</v>
      </c>
      <c r="P23" s="589">
        <f t="shared" si="8"/>
        <v>0</v>
      </c>
      <c r="Q23" s="588">
        <f t="shared" si="8"/>
        <v>2000000</v>
      </c>
      <c r="R23" s="589">
        <f t="shared" si="8"/>
        <v>0</v>
      </c>
      <c r="S23" s="590">
        <f t="shared" si="12"/>
        <v>0</v>
      </c>
    </row>
    <row r="24" spans="1:19" s="297" customFormat="1" ht="15">
      <c r="A24" s="598" t="s">
        <v>335</v>
      </c>
      <c r="B24" s="598"/>
      <c r="C24" s="587"/>
      <c r="D24" s="446"/>
      <c r="E24" s="588">
        <f t="shared" si="9"/>
        <v>0</v>
      </c>
      <c r="F24" s="589">
        <f t="shared" si="10"/>
        <v>0</v>
      </c>
      <c r="G24" s="590"/>
      <c r="H24" s="588">
        <f>'4 bbb Önkorm'!BO33</f>
        <v>50000000</v>
      </c>
      <c r="I24" s="591">
        <f>'4 bbb Önkorm'!BP33</f>
        <v>108418596</v>
      </c>
      <c r="J24" s="592">
        <f>'4 bbb Önkorm'!BQ33</f>
        <v>-12915563</v>
      </c>
      <c r="K24" s="593">
        <f>'4 bbb Önkorm'!BR33</f>
        <v>486924456</v>
      </c>
      <c r="L24" s="588">
        <f>'4 bbb Önkorm'!BS33</f>
        <v>0</v>
      </c>
      <c r="M24" s="590">
        <f t="shared" si="11"/>
        <v>0</v>
      </c>
      <c r="N24" s="588">
        <f t="shared" si="8"/>
        <v>50000000</v>
      </c>
      <c r="O24" s="589">
        <f t="shared" si="8"/>
        <v>108418596</v>
      </c>
      <c r="P24" s="589">
        <f t="shared" si="8"/>
        <v>-12915563</v>
      </c>
      <c r="Q24" s="588">
        <f t="shared" si="8"/>
        <v>486924456</v>
      </c>
      <c r="R24" s="589">
        <f t="shared" si="8"/>
        <v>0</v>
      </c>
      <c r="S24" s="590">
        <f t="shared" si="12"/>
        <v>0</v>
      </c>
    </row>
    <row r="25" spans="1:19" s="297" customFormat="1" ht="15">
      <c r="A25" s="601" t="s">
        <v>336</v>
      </c>
      <c r="B25" s="601"/>
      <c r="C25" s="602"/>
      <c r="D25" s="603"/>
      <c r="E25" s="562">
        <f t="shared" si="9"/>
        <v>0</v>
      </c>
      <c r="F25" s="563">
        <f t="shared" si="10"/>
        <v>0</v>
      </c>
      <c r="G25" s="564"/>
      <c r="H25" s="562">
        <f>'4 bbb Önkorm'!BO34</f>
        <v>246090000</v>
      </c>
      <c r="I25" s="565">
        <f>'4 bbb Önkorm'!BP34</f>
        <v>1064615305</v>
      </c>
      <c r="J25" s="592">
        <f>'4 bbb Önkorm'!BQ34</f>
        <v>155399562</v>
      </c>
      <c r="K25" s="567">
        <f>'4 bbb Önkorm'!BR34</f>
        <v>1278172723</v>
      </c>
      <c r="L25" s="588">
        <f>'4 bbb Önkorm'!BS34</f>
        <v>0</v>
      </c>
      <c r="M25" s="590">
        <f t="shared" si="11"/>
        <v>0</v>
      </c>
      <c r="N25" s="604">
        <f t="shared" si="8"/>
        <v>246090000</v>
      </c>
      <c r="O25" s="605">
        <f t="shared" si="8"/>
        <v>1064615305</v>
      </c>
      <c r="P25" s="605">
        <f t="shared" si="8"/>
        <v>155399562</v>
      </c>
      <c r="Q25" s="604">
        <f t="shared" si="8"/>
        <v>1278172723</v>
      </c>
      <c r="R25" s="605">
        <f t="shared" si="8"/>
        <v>0</v>
      </c>
      <c r="S25" s="590">
        <f t="shared" si="12"/>
        <v>0</v>
      </c>
    </row>
    <row r="26" spans="1:19" s="297" customFormat="1" ht="18.75" customHeight="1" thickBot="1">
      <c r="A26" s="606" t="s">
        <v>337</v>
      </c>
      <c r="B26" s="574">
        <f>SUM(B9+B12+B13+B17+B18)</f>
        <v>8977466085</v>
      </c>
      <c r="C26" s="607">
        <f>SUM(C9+C12+C13+C17+C18)</f>
        <v>9294829861</v>
      </c>
      <c r="D26" s="575">
        <f>SUM(D9+D12+D13+D17+D18)</f>
        <v>-4155395</v>
      </c>
      <c r="E26" s="574">
        <f>SUM(E9+E12+E13+E17+E18)</f>
        <v>9532862982</v>
      </c>
      <c r="F26" s="584">
        <f>SUM(F9+F12+F13+F17+F18)</f>
        <v>8718819161</v>
      </c>
      <c r="G26" s="583">
        <f>F26/E26</f>
        <v>0.91459999999999997</v>
      </c>
      <c r="H26" s="574">
        <f>SUM(H9+H12+H13+H17+H18)</f>
        <v>3455320200</v>
      </c>
      <c r="I26" s="575">
        <f>SUM(I9+I12+I13+I17+I18)</f>
        <v>4475331597</v>
      </c>
      <c r="J26" s="575">
        <f>SUM(J9+J12+J13+J17+J18)</f>
        <v>179477990</v>
      </c>
      <c r="K26" s="575">
        <f>SUM(K9+K12+K13+K17+K18)</f>
        <v>5547315886</v>
      </c>
      <c r="L26" s="574">
        <f>SUM(L9+L12+L13+L17+L18)</f>
        <v>2991822266</v>
      </c>
      <c r="M26" s="583">
        <f t="shared" si="11"/>
        <v>0.5393</v>
      </c>
      <c r="N26" s="574">
        <f>SUM(N9+N12+N13+N17+N18)</f>
        <v>12432786285</v>
      </c>
      <c r="O26" s="584">
        <f>SUM(O9+O12+O13+O17+O18)</f>
        <v>13770161458</v>
      </c>
      <c r="P26" s="584">
        <f>SUM(P9+P12+P13+P17+P18)</f>
        <v>175322595</v>
      </c>
      <c r="Q26" s="574">
        <f>SUM(Q9+Q12+Q13+Q17+Q18)</f>
        <v>15080178868</v>
      </c>
      <c r="R26" s="584">
        <f>SUM(R9+R12+R13+R17+R18)</f>
        <v>11710641427</v>
      </c>
      <c r="S26" s="583">
        <f t="shared" si="12"/>
        <v>0.77659999999999996</v>
      </c>
    </row>
    <row r="27" spans="1:19" s="297" customFormat="1" ht="12.75" hidden="1" customHeight="1">
      <c r="A27" s="535"/>
      <c r="B27" s="608"/>
      <c r="C27" s="589"/>
      <c r="D27" s="589"/>
      <c r="E27" s="589"/>
      <c r="F27" s="589"/>
      <c r="G27" s="589"/>
      <c r="H27" s="609"/>
      <c r="I27" s="609"/>
      <c r="J27" s="589"/>
      <c r="K27" s="610"/>
      <c r="L27" s="610"/>
      <c r="M27" s="611" t="e">
        <f t="shared" si="11"/>
        <v>#DIV/0!</v>
      </c>
      <c r="N27" s="589"/>
      <c r="O27" s="609"/>
      <c r="P27" s="589"/>
      <c r="Q27" s="610"/>
      <c r="R27" s="533"/>
      <c r="S27" s="611" t="e">
        <f t="shared" si="12"/>
        <v>#DIV/0!</v>
      </c>
    </row>
    <row r="28" spans="1:19" s="297" customFormat="1" ht="23.25" customHeight="1" thickBot="1">
      <c r="A28" s="535" t="s">
        <v>338</v>
      </c>
      <c r="B28" s="608"/>
      <c r="C28" s="612"/>
      <c r="D28" s="589"/>
      <c r="E28" s="589"/>
      <c r="F28" s="589"/>
      <c r="G28" s="589"/>
      <c r="H28" s="589"/>
      <c r="I28" s="589"/>
      <c r="J28" s="589"/>
      <c r="K28" s="589"/>
      <c r="L28" s="589"/>
      <c r="M28" s="611"/>
      <c r="N28" s="589"/>
      <c r="O28" s="589"/>
      <c r="P28" s="589"/>
      <c r="Q28" s="589"/>
      <c r="R28" s="433"/>
      <c r="S28" s="611"/>
    </row>
    <row r="29" spans="1:19" s="297" customFormat="1" ht="3.75" hidden="1" customHeight="1">
      <c r="A29" s="613"/>
      <c r="B29" s="614"/>
      <c r="C29" s="612"/>
      <c r="D29" s="589"/>
      <c r="E29" s="589"/>
      <c r="F29" s="589"/>
      <c r="G29" s="589"/>
      <c r="H29" s="609"/>
      <c r="I29" s="609"/>
      <c r="J29" s="589"/>
      <c r="K29" s="610"/>
      <c r="L29" s="610"/>
      <c r="M29" s="611" t="e">
        <f>L29/K29</f>
        <v>#DIV/0!</v>
      </c>
      <c r="N29" s="589"/>
      <c r="O29" s="609"/>
      <c r="P29" s="589"/>
      <c r="Q29" s="610"/>
      <c r="R29" s="533"/>
      <c r="S29" s="611" t="e">
        <f>R29/Q29</f>
        <v>#DIV/0!</v>
      </c>
    </row>
    <row r="30" spans="1:19" s="297" customFormat="1" ht="18" customHeight="1" thickBot="1">
      <c r="A30" s="615" t="s">
        <v>339</v>
      </c>
      <c r="B30" s="574">
        <f>SUM('4 a Intézmények'!CD36+'4 ba Polg Hiv'!BC40)</f>
        <v>229709000</v>
      </c>
      <c r="C30" s="574">
        <f>SUM('4 a Intézmények'!CE36+'4 ba Polg Hiv'!BD40)</f>
        <v>386145494</v>
      </c>
      <c r="D30" s="574">
        <f>SUM('4 a Intézmények'!CF36+'4 ba Polg Hiv'!BE40)</f>
        <v>-9737408</v>
      </c>
      <c r="E30" s="574">
        <f>SUM('4 a Intézmények'!CG36+'4 ba Polg Hiv'!BF40)</f>
        <v>402042551</v>
      </c>
      <c r="F30" s="574">
        <f>SUM('4 a Intézmények'!CH36+'4 ba Polg Hiv'!BG40)</f>
        <v>339856866</v>
      </c>
      <c r="G30" s="616">
        <f>F30/E30</f>
        <v>0.84530000000000005</v>
      </c>
      <c r="H30" s="574">
        <f>'4 bbb Önkorm'!BO36</f>
        <v>1537779000</v>
      </c>
      <c r="I30" s="574">
        <f>'4 bbb Önkorm'!BP36</f>
        <v>1678570330</v>
      </c>
      <c r="J30" s="574">
        <f>'4 bbb Önkorm'!BQ36</f>
        <v>50991069</v>
      </c>
      <c r="K30" s="574">
        <f>'4 bbb Önkorm'!BR36</f>
        <v>1495321217</v>
      </c>
      <c r="L30" s="574">
        <f>'4 bbb Önkorm'!BS36</f>
        <v>649539596</v>
      </c>
      <c r="M30" s="583">
        <f>L30/K30</f>
        <v>0.43440000000000001</v>
      </c>
      <c r="N30" s="574">
        <f t="shared" ref="N30:N38" si="13">SUM(B30+H30)</f>
        <v>1767488000</v>
      </c>
      <c r="O30" s="574">
        <f t="shared" ref="O30:O38" si="14">SUM(C30+I30)</f>
        <v>2064715824</v>
      </c>
      <c r="P30" s="574">
        <f t="shared" ref="P30:P38" si="15">SUM(D30+J30)</f>
        <v>41253661</v>
      </c>
      <c r="Q30" s="574">
        <f t="shared" ref="Q30:Q38" si="16">SUM(E30+K30)</f>
        <v>1897363768</v>
      </c>
      <c r="R30" s="574">
        <f t="shared" ref="R30:R38" si="17">SUM(F30+L30)</f>
        <v>989396462</v>
      </c>
      <c r="S30" s="583">
        <f>R30/Q30</f>
        <v>0.52149999999999996</v>
      </c>
    </row>
    <row r="31" spans="1:19" s="297" customFormat="1" ht="18" customHeight="1" thickBot="1">
      <c r="A31" s="615" t="s">
        <v>340</v>
      </c>
      <c r="B31" s="574">
        <f>SUM('4 a Intézmények'!CD37+'4 ba Polg Hiv'!BC41)</f>
        <v>680975000</v>
      </c>
      <c r="C31" s="574">
        <f>SUM('4 a Intézmények'!CE37+'4 ba Polg Hiv'!BD41)</f>
        <v>790350769</v>
      </c>
      <c r="D31" s="574">
        <f>SUM('4 a Intézmények'!CF37+'4 ba Polg Hiv'!BE41)</f>
        <v>-194822940</v>
      </c>
      <c r="E31" s="574">
        <f>SUM('4 a Intézmények'!CG37+'4 ba Polg Hiv'!BF41)</f>
        <v>558986395</v>
      </c>
      <c r="F31" s="574">
        <f>SUM('4 a Intézmények'!CH37+'4 ba Polg Hiv'!BG41)</f>
        <v>492615688</v>
      </c>
      <c r="G31" s="617">
        <f>F31/E31</f>
        <v>0.88129999999999997</v>
      </c>
      <c r="H31" s="574">
        <f>'4 bbb Önkorm'!BO37</f>
        <v>1293638000</v>
      </c>
      <c r="I31" s="574">
        <f>'4 bbb Önkorm'!BP37</f>
        <v>1309236450</v>
      </c>
      <c r="J31" s="574">
        <f>'4 bbb Önkorm'!BQ37</f>
        <v>-25000</v>
      </c>
      <c r="K31" s="574">
        <f>'4 bbb Önkorm'!BR37</f>
        <v>1329480810</v>
      </c>
      <c r="L31" s="574">
        <f>'4 bbb Önkorm'!BS37</f>
        <v>1288629666</v>
      </c>
      <c r="M31" s="583">
        <f>L31/K31</f>
        <v>0.96930000000000005</v>
      </c>
      <c r="N31" s="574">
        <f t="shared" si="13"/>
        <v>1974613000</v>
      </c>
      <c r="O31" s="574">
        <f t="shared" si="14"/>
        <v>2099587219</v>
      </c>
      <c r="P31" s="574">
        <f t="shared" si="15"/>
        <v>-194847940</v>
      </c>
      <c r="Q31" s="574">
        <f t="shared" si="16"/>
        <v>1888467205</v>
      </c>
      <c r="R31" s="574">
        <f t="shared" si="17"/>
        <v>1781245354</v>
      </c>
      <c r="S31" s="583">
        <f>R31/Q31</f>
        <v>0.94320000000000004</v>
      </c>
    </row>
    <row r="32" spans="1:19" s="297" customFormat="1" ht="18" customHeight="1">
      <c r="A32" s="618" t="s">
        <v>341</v>
      </c>
      <c r="B32" s="619">
        <f>SUM(B33:B38)</f>
        <v>0</v>
      </c>
      <c r="C32" s="619">
        <f>SUM(C33:C38)</f>
        <v>0</v>
      </c>
      <c r="D32" s="619">
        <f>SUM(D33:D38)</f>
        <v>0</v>
      </c>
      <c r="E32" s="619">
        <f>SUM(E33:E38)</f>
        <v>0</v>
      </c>
      <c r="F32" s="619">
        <f>SUM(F33:F38)</f>
        <v>0</v>
      </c>
      <c r="G32" s="620"/>
      <c r="H32" s="621">
        <f>SUM(H33:H38)</f>
        <v>174575000</v>
      </c>
      <c r="I32" s="621">
        <f>SUM(I33:I38)</f>
        <v>178575000</v>
      </c>
      <c r="J32" s="621">
        <f>SUM(J33:J38)</f>
        <v>10800000</v>
      </c>
      <c r="K32" s="621">
        <f>SUM(K33:K38)</f>
        <v>193998068</v>
      </c>
      <c r="L32" s="576">
        <f>SUM(L33:L38)</f>
        <v>118500543</v>
      </c>
      <c r="M32" s="622">
        <f>L32/K32</f>
        <v>0.61080000000000001</v>
      </c>
      <c r="N32" s="621">
        <f t="shared" si="13"/>
        <v>174575000</v>
      </c>
      <c r="O32" s="621">
        <f t="shared" si="14"/>
        <v>178575000</v>
      </c>
      <c r="P32" s="621">
        <f t="shared" si="15"/>
        <v>10800000</v>
      </c>
      <c r="Q32" s="621">
        <f t="shared" si="16"/>
        <v>193998068</v>
      </c>
      <c r="R32" s="621">
        <f t="shared" si="17"/>
        <v>118500543</v>
      </c>
      <c r="S32" s="622">
        <f>R32/Q32</f>
        <v>0.61080000000000001</v>
      </c>
    </row>
    <row r="33" spans="1:19" s="297" customFormat="1" ht="15" customHeight="1" thickBot="1">
      <c r="A33" s="623" t="s">
        <v>342</v>
      </c>
      <c r="B33" s="550">
        <f>'4 ba Polg Hiv'!BC43+'4 a Intézmények'!CD39</f>
        <v>0</v>
      </c>
      <c r="C33" s="550">
        <f>'4 ba Polg Hiv'!BD43+'4 a Intézmények'!CE39</f>
        <v>0</v>
      </c>
      <c r="D33" s="624">
        <f>'4 ba Polg Hiv'!BE43+'4 a Intézmények'!CF39</f>
        <v>0</v>
      </c>
      <c r="E33" s="550">
        <f>'4 ba Polg Hiv'!BF43+'4 a Intézmények'!CG39</f>
        <v>0</v>
      </c>
      <c r="F33" s="550">
        <f>'4 ba Polg Hiv'!BG43+'4 a Intézmények'!CH39</f>
        <v>0</v>
      </c>
      <c r="G33" s="554"/>
      <c r="H33" s="550">
        <f>'4 bbb Önkorm'!BO39</f>
        <v>5923000</v>
      </c>
      <c r="I33" s="550">
        <f>'4 bbb Önkorm'!BP39</f>
        <v>5923000</v>
      </c>
      <c r="J33" s="625">
        <f>'4 bbb Önkorm'!BQ39</f>
        <v>0</v>
      </c>
      <c r="K33" s="550">
        <f>'4 bbb Önkorm'!BR39</f>
        <v>9223028</v>
      </c>
      <c r="L33" s="550">
        <f>'4 bbb Önkorm'!BS39</f>
        <v>3300000</v>
      </c>
      <c r="M33" s="554">
        <f>L33/K33</f>
        <v>0.35780000000000001</v>
      </c>
      <c r="N33" s="550">
        <f t="shared" si="13"/>
        <v>5923000</v>
      </c>
      <c r="O33" s="550">
        <f t="shared" si="14"/>
        <v>5923000</v>
      </c>
      <c r="P33" s="550">
        <f t="shared" si="15"/>
        <v>0</v>
      </c>
      <c r="Q33" s="550">
        <f t="shared" si="16"/>
        <v>9223028</v>
      </c>
      <c r="R33" s="550">
        <f t="shared" si="17"/>
        <v>3300000</v>
      </c>
      <c r="S33" s="554">
        <f>R33/Q33</f>
        <v>0.35780000000000001</v>
      </c>
    </row>
    <row r="34" spans="1:19" s="297" customFormat="1" ht="15" customHeight="1" thickBot="1">
      <c r="A34" s="585" t="s">
        <v>343</v>
      </c>
      <c r="B34" s="588"/>
      <c r="C34" s="588"/>
      <c r="D34" s="626"/>
      <c r="E34" s="588"/>
      <c r="F34" s="588"/>
      <c r="G34" s="590"/>
      <c r="H34" s="588">
        <f>'4 bbb Önkorm'!BO40</f>
        <v>0</v>
      </c>
      <c r="I34" s="588">
        <f>'4 bbb Önkorm'!BP40</f>
        <v>0</v>
      </c>
      <c r="J34" s="627">
        <f>'4 bbb Önkorm'!BQ40</f>
        <v>0</v>
      </c>
      <c r="K34" s="588">
        <f>'4 bbb Önkorm'!BR40</f>
        <v>0</v>
      </c>
      <c r="L34" s="550">
        <f>'4 bbb Önkorm'!BS40</f>
        <v>0</v>
      </c>
      <c r="M34" s="590"/>
      <c r="N34" s="588">
        <f t="shared" si="13"/>
        <v>0</v>
      </c>
      <c r="O34" s="588">
        <f t="shared" si="14"/>
        <v>0</v>
      </c>
      <c r="P34" s="588">
        <f t="shared" si="15"/>
        <v>0</v>
      </c>
      <c r="Q34" s="588">
        <f t="shared" si="16"/>
        <v>0</v>
      </c>
      <c r="R34" s="588">
        <f t="shared" si="17"/>
        <v>0</v>
      </c>
      <c r="S34" s="590"/>
    </row>
    <row r="35" spans="1:19" s="297" customFormat="1" ht="15" customHeight="1" thickBot="1">
      <c r="A35" s="585" t="s">
        <v>344</v>
      </c>
      <c r="B35" s="588">
        <f>'4 ba Polg Hiv'!BC45+'4 a Intézmények'!CD41</f>
        <v>0</v>
      </c>
      <c r="C35" s="588">
        <f>'4 ba Polg Hiv'!BD45+'4 a Intézmények'!CE41</f>
        <v>0</v>
      </c>
      <c r="D35" s="626">
        <f>'4 ba Polg Hiv'!BE45+'4 a Intézmények'!CF41</f>
        <v>0</v>
      </c>
      <c r="E35" s="588">
        <f>'4 ba Polg Hiv'!BF45+'4 a Intézmények'!CG41</f>
        <v>0</v>
      </c>
      <c r="F35" s="588">
        <f>'4 ba Polg Hiv'!BG45+'4 a Intézmények'!CH41</f>
        <v>0</v>
      </c>
      <c r="G35" s="590"/>
      <c r="H35" s="588">
        <f>'4 bbb Önkorm'!BO41</f>
        <v>10680000</v>
      </c>
      <c r="I35" s="588">
        <f>'4 bbb Önkorm'!BP41</f>
        <v>14680000</v>
      </c>
      <c r="J35" s="627">
        <f>'4 bbb Önkorm'!BQ41</f>
        <v>10800000</v>
      </c>
      <c r="K35" s="588">
        <f>'4 bbb Önkorm'!BR41</f>
        <v>81803000</v>
      </c>
      <c r="L35" s="550">
        <f>'4 bbb Önkorm'!BS41</f>
        <v>62576377</v>
      </c>
      <c r="M35" s="590">
        <f t="shared" ref="M35:M40" si="18">L35/K35</f>
        <v>0.76500000000000001</v>
      </c>
      <c r="N35" s="588">
        <f t="shared" si="13"/>
        <v>10680000</v>
      </c>
      <c r="O35" s="588">
        <f t="shared" si="14"/>
        <v>14680000</v>
      </c>
      <c r="P35" s="588">
        <f t="shared" si="15"/>
        <v>10800000</v>
      </c>
      <c r="Q35" s="588">
        <f t="shared" si="16"/>
        <v>81803000</v>
      </c>
      <c r="R35" s="588">
        <f t="shared" si="17"/>
        <v>62576377</v>
      </c>
      <c r="S35" s="590">
        <f t="shared" ref="S35:S40" si="19">R35/Q35</f>
        <v>0.76500000000000001</v>
      </c>
    </row>
    <row r="36" spans="1:19" s="297" customFormat="1" ht="15" customHeight="1" thickBot="1">
      <c r="A36" s="585" t="s">
        <v>345</v>
      </c>
      <c r="B36" s="588"/>
      <c r="C36" s="588"/>
      <c r="D36" s="626"/>
      <c r="E36" s="588"/>
      <c r="F36" s="588"/>
      <c r="G36" s="590"/>
      <c r="H36" s="588">
        <f>'4 bbb Önkorm'!BO42</f>
        <v>112972000</v>
      </c>
      <c r="I36" s="588">
        <f>'4 bbb Önkorm'!BP42</f>
        <v>112972000</v>
      </c>
      <c r="J36" s="627">
        <f>'4 bbb Önkorm'!BQ42</f>
        <v>0</v>
      </c>
      <c r="K36" s="588">
        <f>'4 bbb Önkorm'!BR42</f>
        <v>92972040</v>
      </c>
      <c r="L36" s="550">
        <f>'4 bbb Önkorm'!BS42</f>
        <v>51544166</v>
      </c>
      <c r="M36" s="590">
        <f t="shared" si="18"/>
        <v>0.5544</v>
      </c>
      <c r="N36" s="588">
        <f t="shared" si="13"/>
        <v>112972000</v>
      </c>
      <c r="O36" s="588">
        <f t="shared" si="14"/>
        <v>112972000</v>
      </c>
      <c r="P36" s="588">
        <f t="shared" si="15"/>
        <v>0</v>
      </c>
      <c r="Q36" s="588">
        <f t="shared" si="16"/>
        <v>92972040</v>
      </c>
      <c r="R36" s="588">
        <f t="shared" si="17"/>
        <v>51544166</v>
      </c>
      <c r="S36" s="590">
        <f t="shared" si="19"/>
        <v>0.5544</v>
      </c>
    </row>
    <row r="37" spans="1:19" s="297" customFormat="1" ht="15" customHeight="1">
      <c r="A37" s="585" t="s">
        <v>346</v>
      </c>
      <c r="B37" s="588"/>
      <c r="C37" s="588"/>
      <c r="D37" s="626"/>
      <c r="E37" s="588"/>
      <c r="F37" s="588"/>
      <c r="G37" s="590"/>
      <c r="H37" s="588">
        <f>'4 bbb Önkorm'!BO43</f>
        <v>9000000</v>
      </c>
      <c r="I37" s="588">
        <f>'4 bbb Önkorm'!BP43</f>
        <v>9000000</v>
      </c>
      <c r="J37" s="627">
        <f>'4 bbb Önkorm'!BQ43</f>
        <v>0</v>
      </c>
      <c r="K37" s="588">
        <f>'4 bbb Önkorm'!BR43</f>
        <v>9000000</v>
      </c>
      <c r="L37" s="550">
        <f>'4 bbb Önkorm'!BS43</f>
        <v>1080000</v>
      </c>
      <c r="M37" s="590">
        <f t="shared" si="18"/>
        <v>0.12</v>
      </c>
      <c r="N37" s="588">
        <f t="shared" si="13"/>
        <v>9000000</v>
      </c>
      <c r="O37" s="588">
        <f t="shared" si="14"/>
        <v>9000000</v>
      </c>
      <c r="P37" s="588">
        <f t="shared" si="15"/>
        <v>0</v>
      </c>
      <c r="Q37" s="588">
        <f t="shared" si="16"/>
        <v>9000000</v>
      </c>
      <c r="R37" s="588">
        <f t="shared" si="17"/>
        <v>1080000</v>
      </c>
      <c r="S37" s="590">
        <f t="shared" si="19"/>
        <v>0.12</v>
      </c>
    </row>
    <row r="38" spans="1:19" s="297" customFormat="1" ht="15" customHeight="1" thickBot="1">
      <c r="A38" s="558" t="s">
        <v>347</v>
      </c>
      <c r="B38" s="562"/>
      <c r="C38" s="562"/>
      <c r="D38" s="628"/>
      <c r="E38" s="562"/>
      <c r="F38" s="588"/>
      <c r="G38" s="590"/>
      <c r="H38" s="562">
        <f>'4 bbb Önkorm'!BO44</f>
        <v>36000000</v>
      </c>
      <c r="I38" s="562">
        <f>'4 bbb Önkorm'!BP44</f>
        <v>36000000</v>
      </c>
      <c r="J38" s="629">
        <f>'4 bbb Önkorm'!BQ44</f>
        <v>0</v>
      </c>
      <c r="K38" s="562">
        <f>'4 bbb Önkorm'!BR44</f>
        <v>1000000</v>
      </c>
      <c r="L38" s="562">
        <f>'4 bbb Önkorm'!BS44</f>
        <v>0</v>
      </c>
      <c r="M38" s="564">
        <f t="shared" si="18"/>
        <v>0</v>
      </c>
      <c r="N38" s="562">
        <f t="shared" si="13"/>
        <v>36000000</v>
      </c>
      <c r="O38" s="562">
        <f t="shared" si="14"/>
        <v>36000000</v>
      </c>
      <c r="P38" s="562">
        <f t="shared" si="15"/>
        <v>0</v>
      </c>
      <c r="Q38" s="562">
        <f t="shared" si="16"/>
        <v>1000000</v>
      </c>
      <c r="R38" s="562">
        <f t="shared" si="17"/>
        <v>0</v>
      </c>
      <c r="S38" s="564">
        <f t="shared" si="19"/>
        <v>0</v>
      </c>
    </row>
    <row r="39" spans="1:19" s="297" customFormat="1" ht="19.5" customHeight="1">
      <c r="A39" s="606" t="s">
        <v>348</v>
      </c>
      <c r="B39" s="574">
        <f>SUM(B30+B31+B32)</f>
        <v>910684000</v>
      </c>
      <c r="C39" s="574">
        <f>SUM(C30+C31+C32)</f>
        <v>1176496263</v>
      </c>
      <c r="D39" s="574">
        <f>SUM(D30+D31+D32)</f>
        <v>-204560348</v>
      </c>
      <c r="E39" s="574">
        <f>SUM(E30+E31+E32)</f>
        <v>961028946</v>
      </c>
      <c r="F39" s="574">
        <f>SUM(F30+F31+F32)</f>
        <v>832472554</v>
      </c>
      <c r="G39" s="583">
        <f>F39/E39</f>
        <v>0.86619999999999997</v>
      </c>
      <c r="H39" s="574">
        <f>SUM(H30+H31+H32)</f>
        <v>3005992000</v>
      </c>
      <c r="I39" s="574">
        <f>SUM(I30+I31+I32)</f>
        <v>3166381780</v>
      </c>
      <c r="J39" s="574">
        <f>SUM(J30+J31+J32)</f>
        <v>61766069</v>
      </c>
      <c r="K39" s="574">
        <f>SUM(K30+K31+K32)</f>
        <v>3018800095</v>
      </c>
      <c r="L39" s="574">
        <f>SUM(L30+L31+L32)</f>
        <v>2056669805</v>
      </c>
      <c r="M39" s="583">
        <f t="shared" si="18"/>
        <v>0.68130000000000002</v>
      </c>
      <c r="N39" s="574">
        <f>SUM(N30+N31+N32)</f>
        <v>3916676000</v>
      </c>
      <c r="O39" s="574">
        <f>SUM(O30+O31+O32)</f>
        <v>4342878043</v>
      </c>
      <c r="P39" s="574">
        <f>SUM(P30+P31+P32)</f>
        <v>-142794279</v>
      </c>
      <c r="Q39" s="574">
        <f>SUM(Q30+Q31+Q32)</f>
        <v>3979829041</v>
      </c>
      <c r="R39" s="574">
        <f>SUM(R30+R31+R32)</f>
        <v>2889142359</v>
      </c>
      <c r="S39" s="583">
        <f t="shared" si="19"/>
        <v>0.72589999999999999</v>
      </c>
    </row>
    <row r="40" spans="1:19" s="297" customFormat="1" ht="19.5" customHeight="1" thickBot="1">
      <c r="A40" s="606" t="s">
        <v>349</v>
      </c>
      <c r="B40" s="574">
        <f>B26+B39</f>
        <v>9888150085</v>
      </c>
      <c r="C40" s="574">
        <f>C26+C39</f>
        <v>10471326124</v>
      </c>
      <c r="D40" s="574">
        <f>D26+D39</f>
        <v>-208715743</v>
      </c>
      <c r="E40" s="574">
        <f>E26+E39</f>
        <v>10493891928</v>
      </c>
      <c r="F40" s="574">
        <f>F26+F39</f>
        <v>9551291715</v>
      </c>
      <c r="G40" s="583">
        <f>F40/E40</f>
        <v>0.91020000000000001</v>
      </c>
      <c r="H40" s="574">
        <f>H26+H39</f>
        <v>6461312200</v>
      </c>
      <c r="I40" s="574">
        <f>I26+I39</f>
        <v>7641713377</v>
      </c>
      <c r="J40" s="574">
        <f>J26+J39</f>
        <v>241244059</v>
      </c>
      <c r="K40" s="574">
        <f>K26+K39</f>
        <v>8566115981</v>
      </c>
      <c r="L40" s="574">
        <f>L26+L39</f>
        <v>5048492071</v>
      </c>
      <c r="M40" s="583">
        <f t="shared" si="18"/>
        <v>0.58940000000000003</v>
      </c>
      <c r="N40" s="574">
        <f>N26+N39</f>
        <v>16349462285</v>
      </c>
      <c r="O40" s="574">
        <f>O26+O39</f>
        <v>18113039501</v>
      </c>
      <c r="P40" s="574">
        <f>P26+P39</f>
        <v>32528316</v>
      </c>
      <c r="Q40" s="574">
        <f>Q26+Q39</f>
        <v>19060007909</v>
      </c>
      <c r="R40" s="574">
        <f>R26+R39</f>
        <v>14599783786</v>
      </c>
      <c r="S40" s="583">
        <f t="shared" si="19"/>
        <v>0.76600000000000001</v>
      </c>
    </row>
    <row r="41" spans="1:19" s="293" customFormat="1" ht="24" customHeight="1" thickBot="1">
      <c r="A41" s="631" t="s">
        <v>350</v>
      </c>
      <c r="B41" s="631"/>
      <c r="C41" s="632"/>
      <c r="D41" s="415"/>
      <c r="E41" s="498"/>
      <c r="F41" s="498"/>
      <c r="G41" s="498"/>
      <c r="H41" s="498"/>
      <c r="I41" s="633"/>
      <c r="J41" s="633"/>
      <c r="K41" s="415"/>
      <c r="L41" s="415"/>
      <c r="M41" s="415"/>
      <c r="N41" s="415"/>
      <c r="O41" s="415"/>
      <c r="P41" s="297"/>
      <c r="Q41" s="630"/>
      <c r="R41" s="634"/>
      <c r="S41" s="415"/>
    </row>
    <row r="42" spans="1:19" s="293" customFormat="1" ht="15" hidden="1" customHeight="1">
      <c r="A42" s="635" t="s">
        <v>351</v>
      </c>
      <c r="B42" s="636">
        <f>'4 a Intézmények'!CD132+'4 a Intézmények'!CD133+'4 a Intézmények'!CD135+'4 a Intézmények'!CD136+'4 ba Polg Hiv'!BC137+'4 ba Polg Hiv'!BC138+'4 ba Polg Hiv'!BC140+'4 ba Polg Hiv'!BC141</f>
        <v>0</v>
      </c>
      <c r="C42" s="637">
        <f>'4 a Intézmények'!CE132+'4 a Intézmények'!CE133+'4 a Intézmények'!CE135+'4 a Intézmények'!CE136+'4 ba Polg Hiv'!BD137+'4 ba Polg Hiv'!BD138+'4 ba Polg Hiv'!BD140+'4 ba Polg Hiv'!BD141</f>
        <v>0</v>
      </c>
      <c r="D42" s="638">
        <f>'4 a Intézmények'!CF132+'4 a Intézmények'!CF133+'4 a Intézmények'!CF135+'4 a Intézmények'!CF136+'4 ba Polg Hiv'!BE137+'4 ba Polg Hiv'!BE138+'4 ba Polg Hiv'!BE140+'4 ba Polg Hiv'!BE141</f>
        <v>0</v>
      </c>
      <c r="E42" s="639">
        <f>SUM(C42+D42)</f>
        <v>0</v>
      </c>
      <c r="F42" s="640">
        <f>C42-B42</f>
        <v>0</v>
      </c>
      <c r="G42" s="641"/>
      <c r="H42" s="642">
        <f>SUM(H43:H44)</f>
        <v>0</v>
      </c>
      <c r="I42" s="643">
        <f>SUM(I43:I44)</f>
        <v>0</v>
      </c>
      <c r="J42" s="580">
        <f>SUM(J43:J44)</f>
        <v>0</v>
      </c>
      <c r="K42" s="644">
        <f>SUM(I42+J42)</f>
        <v>0</v>
      </c>
      <c r="L42" s="640">
        <f>I42-H42</f>
        <v>0</v>
      </c>
      <c r="M42" s="641"/>
      <c r="N42" s="642">
        <f t="shared" ref="N42:N52" si="20">SUM(B42+H42)</f>
        <v>0</v>
      </c>
      <c r="O42" s="643">
        <f t="shared" ref="O42:O52" si="21">SUM(C42+I42)</f>
        <v>0</v>
      </c>
      <c r="P42" s="580">
        <f t="shared" ref="P42:P52" si="22">SUM(D42+J42)</f>
        <v>0</v>
      </c>
      <c r="Q42" s="645">
        <f t="shared" ref="Q42:Q47" si="23">SUM(O42+P42)</f>
        <v>0</v>
      </c>
      <c r="R42" s="645">
        <f t="shared" ref="R42:R47" si="24">O42-N42</f>
        <v>0</v>
      </c>
      <c r="S42" s="641"/>
    </row>
    <row r="43" spans="1:19" s="293" customFormat="1" ht="15.75" hidden="1" thickBot="1">
      <c r="A43" s="646" t="s">
        <v>352</v>
      </c>
      <c r="B43" s="647"/>
      <c r="C43" s="648"/>
      <c r="D43" s="649"/>
      <c r="E43" s="650">
        <f>SUM(C43+D43)</f>
        <v>0</v>
      </c>
      <c r="F43" s="651"/>
      <c r="G43" s="652"/>
      <c r="H43" s="653">
        <f>'4 bbb Önkorm'!BO49</f>
        <v>0</v>
      </c>
      <c r="I43" s="654">
        <f>'4 bbb Önkorm'!BP49</f>
        <v>0</v>
      </c>
      <c r="J43" s="655">
        <f>'4 bbb Önkorm'!BQ49</f>
        <v>0</v>
      </c>
      <c r="K43" s="656">
        <f>SUM(I43+J43)</f>
        <v>0</v>
      </c>
      <c r="L43" s="657">
        <f>I43-H43</f>
        <v>0</v>
      </c>
      <c r="M43" s="658"/>
      <c r="N43" s="653">
        <f t="shared" si="20"/>
        <v>0</v>
      </c>
      <c r="O43" s="654">
        <f t="shared" si="21"/>
        <v>0</v>
      </c>
      <c r="P43" s="659">
        <f t="shared" si="22"/>
        <v>0</v>
      </c>
      <c r="Q43" s="657">
        <f t="shared" si="23"/>
        <v>0</v>
      </c>
      <c r="R43" s="660">
        <f t="shared" si="24"/>
        <v>0</v>
      </c>
      <c r="S43" s="658"/>
    </row>
    <row r="44" spans="1:19" s="293" customFormat="1" ht="15.75" hidden="1" thickBot="1">
      <c r="A44" s="661" t="s">
        <v>353</v>
      </c>
      <c r="B44" s="662"/>
      <c r="C44" s="663"/>
      <c r="D44" s="664"/>
      <c r="E44" s="665">
        <f>SUM(C44+D44)</f>
        <v>0</v>
      </c>
      <c r="F44" s="666"/>
      <c r="G44" s="667"/>
      <c r="H44" s="668">
        <f>'4 bbb Önkorm'!BO50</f>
        <v>0</v>
      </c>
      <c r="I44" s="669">
        <f>'4 bbb Önkorm'!BP50</f>
        <v>0</v>
      </c>
      <c r="J44" s="670">
        <f>'4 bbb Önkorm'!BQ50</f>
        <v>0</v>
      </c>
      <c r="K44" s="671">
        <f>SUM(I44+J44)</f>
        <v>0</v>
      </c>
      <c r="L44" s="672"/>
      <c r="M44" s="432"/>
      <c r="N44" s="668">
        <f t="shared" si="20"/>
        <v>0</v>
      </c>
      <c r="O44" s="669">
        <f t="shared" si="21"/>
        <v>0</v>
      </c>
      <c r="P44" s="592">
        <f t="shared" si="22"/>
        <v>0</v>
      </c>
      <c r="Q44" s="672">
        <f t="shared" si="23"/>
        <v>0</v>
      </c>
      <c r="R44" s="660">
        <f t="shared" si="24"/>
        <v>0</v>
      </c>
      <c r="S44" s="432"/>
    </row>
    <row r="45" spans="1:19" s="293" customFormat="1" ht="15.75" thickBot="1">
      <c r="A45" s="635" t="s">
        <v>354</v>
      </c>
      <c r="B45" s="673"/>
      <c r="C45" s="674"/>
      <c r="D45" s="643"/>
      <c r="E45" s="580"/>
      <c r="F45" s="645"/>
      <c r="G45" s="582"/>
      <c r="H45" s="642">
        <f>SUM(H46:H47)</f>
        <v>0</v>
      </c>
      <c r="I45" s="642">
        <f>SUM(I46:I47)</f>
        <v>0</v>
      </c>
      <c r="J45" s="642">
        <f>SUM(J46:J47)</f>
        <v>0</v>
      </c>
      <c r="K45" s="642">
        <f>SUM(K46:K47)</f>
        <v>5890000000</v>
      </c>
      <c r="L45" s="642">
        <f>SUM(L46:L47)</f>
        <v>5890000000</v>
      </c>
      <c r="M45" s="1669">
        <f>L45/K45</f>
        <v>1</v>
      </c>
      <c r="N45" s="642">
        <f t="shared" si="20"/>
        <v>0</v>
      </c>
      <c r="O45" s="642">
        <f t="shared" si="21"/>
        <v>0</v>
      </c>
      <c r="P45" s="642">
        <f t="shared" si="22"/>
        <v>0</v>
      </c>
      <c r="Q45" s="642">
        <f>SUM(E45+K45)</f>
        <v>5890000000</v>
      </c>
      <c r="R45" s="642">
        <f>SUM(F45+L45)</f>
        <v>5890000000</v>
      </c>
      <c r="S45" s="1669">
        <f>R45/Q45</f>
        <v>1</v>
      </c>
    </row>
    <row r="46" spans="1:19" s="293" customFormat="1" ht="15">
      <c r="A46" s="661" t="s">
        <v>355</v>
      </c>
      <c r="B46" s="662"/>
      <c r="C46" s="663"/>
      <c r="D46" s="664"/>
      <c r="E46" s="665">
        <f>SUM(C46+D46)</f>
        <v>0</v>
      </c>
      <c r="F46" s="666"/>
      <c r="G46" s="667"/>
      <c r="H46" s="668">
        <f>'4 bbb Önkorm'!BO52</f>
        <v>0</v>
      </c>
      <c r="I46" s="668">
        <f>'4 bbb Önkorm'!BP52</f>
        <v>0</v>
      </c>
      <c r="J46" s="668">
        <f>'4 bbb Önkorm'!BQ52</f>
        <v>0</v>
      </c>
      <c r="K46" s="668">
        <f>'4 bbb Önkorm'!BR52</f>
        <v>5890000000</v>
      </c>
      <c r="L46" s="668">
        <f>'4 bbb Önkorm'!BS52</f>
        <v>5890000000</v>
      </c>
      <c r="M46" s="1670">
        <f>L46/K46</f>
        <v>1</v>
      </c>
      <c r="N46" s="668">
        <f t="shared" si="20"/>
        <v>0</v>
      </c>
      <c r="O46" s="668">
        <f t="shared" si="21"/>
        <v>0</v>
      </c>
      <c r="P46" s="668">
        <f t="shared" si="22"/>
        <v>0</v>
      </c>
      <c r="Q46" s="668">
        <f>SUM(E46+K46)</f>
        <v>5890000000</v>
      </c>
      <c r="R46" s="668">
        <f>SUM(F46+L46)</f>
        <v>5890000000</v>
      </c>
      <c r="S46" s="1670">
        <f>R46/Q46</f>
        <v>1</v>
      </c>
    </row>
    <row r="47" spans="1:19" s="293" customFormat="1" ht="15.75" thickBot="1">
      <c r="A47" s="661" t="s">
        <v>356</v>
      </c>
      <c r="B47" s="662"/>
      <c r="C47" s="663"/>
      <c r="D47" s="664"/>
      <c r="E47" s="665">
        <f>SUM(C47+D47)</f>
        <v>0</v>
      </c>
      <c r="F47" s="666"/>
      <c r="G47" s="667"/>
      <c r="H47" s="668">
        <f>'4 bbb Önkorm'!BO53</f>
        <v>0</v>
      </c>
      <c r="I47" s="669">
        <f>'4 bbb Önkorm'!BP53</f>
        <v>0</v>
      </c>
      <c r="J47" s="670">
        <f>'4 bbb Önkorm'!BQ53</f>
        <v>0</v>
      </c>
      <c r="K47" s="671">
        <f>SUM(I47+J47)</f>
        <v>0</v>
      </c>
      <c r="L47" s="672">
        <f>I47-H47</f>
        <v>0</v>
      </c>
      <c r="M47" s="432"/>
      <c r="N47" s="668">
        <f t="shared" si="20"/>
        <v>0</v>
      </c>
      <c r="O47" s="669">
        <f t="shared" si="21"/>
        <v>0</v>
      </c>
      <c r="P47" s="592">
        <f t="shared" si="22"/>
        <v>0</v>
      </c>
      <c r="Q47" s="672">
        <f t="shared" si="23"/>
        <v>0</v>
      </c>
      <c r="R47" s="660">
        <f t="shared" si="24"/>
        <v>0</v>
      </c>
      <c r="S47" s="432"/>
    </row>
    <row r="48" spans="1:19" s="293" customFormat="1" ht="18" customHeight="1" thickBot="1">
      <c r="A48" s="635" t="s">
        <v>357</v>
      </c>
      <c r="B48" s="675">
        <f>SUM(B49:B52)</f>
        <v>0</v>
      </c>
      <c r="C48" s="675">
        <f>SUM(C49:C52)</f>
        <v>0</v>
      </c>
      <c r="D48" s="675">
        <f>SUM(D49:D52)</f>
        <v>0</v>
      </c>
      <c r="E48" s="675">
        <f>SUM(E49:E52)</f>
        <v>0</v>
      </c>
      <c r="F48" s="675">
        <f>SUM(F49:F52)</f>
        <v>0</v>
      </c>
      <c r="G48" s="676"/>
      <c r="H48" s="579">
        <f>SUM(H49:H52)</f>
        <v>8124909298</v>
      </c>
      <c r="I48" s="579">
        <f>SUM(I49:I52)</f>
        <v>8412469938</v>
      </c>
      <c r="J48" s="579">
        <f>SUM(J49:J52)</f>
        <v>-207988645</v>
      </c>
      <c r="K48" s="579">
        <f>SUM(K49:K52)</f>
        <v>8290936811</v>
      </c>
      <c r="L48" s="579">
        <f>SUM(L49:L52)</f>
        <v>7463846185</v>
      </c>
      <c r="M48" s="617">
        <f>L48/K48</f>
        <v>0.9002</v>
      </c>
      <c r="N48" s="579">
        <f t="shared" si="20"/>
        <v>8124909298</v>
      </c>
      <c r="O48" s="579">
        <f t="shared" si="21"/>
        <v>8412469938</v>
      </c>
      <c r="P48" s="579">
        <f t="shared" si="22"/>
        <v>-207988645</v>
      </c>
      <c r="Q48" s="579">
        <f t="shared" ref="Q48:R52" si="25">SUM(E48+K48)</f>
        <v>8290936811</v>
      </c>
      <c r="R48" s="579">
        <f t="shared" si="25"/>
        <v>7463846185</v>
      </c>
      <c r="S48" s="617">
        <f>R48/Q48</f>
        <v>0.9002</v>
      </c>
    </row>
    <row r="49" spans="1:19" s="293" customFormat="1" ht="15">
      <c r="A49" s="661" t="s">
        <v>358</v>
      </c>
      <c r="B49" s="586"/>
      <c r="C49" s="677"/>
      <c r="D49" s="678"/>
      <c r="E49" s="586">
        <f>SUM(C49+D49)</f>
        <v>0</v>
      </c>
      <c r="F49" s="586"/>
      <c r="G49" s="679"/>
      <c r="H49" s="586">
        <f>'4 bbb Önkorm'!BO55</f>
        <v>2049522298</v>
      </c>
      <c r="I49" s="586">
        <f>'4 bbb Önkorm'!BP55</f>
        <v>2084036598</v>
      </c>
      <c r="J49" s="680">
        <f>'4 bbb Önkorm'!BQ55</f>
        <v>23161910</v>
      </c>
      <c r="K49" s="681">
        <f>'4 bbb Önkorm'!BR55</f>
        <v>2197159113</v>
      </c>
      <c r="L49" s="681">
        <f>'4 bbb Önkorm'!BS55</f>
        <v>2197159113</v>
      </c>
      <c r="M49" s="682">
        <f>L49/K49</f>
        <v>1</v>
      </c>
      <c r="N49" s="586">
        <f t="shared" si="20"/>
        <v>2049522298</v>
      </c>
      <c r="O49" s="586">
        <f t="shared" si="21"/>
        <v>2084036598</v>
      </c>
      <c r="P49" s="586">
        <f t="shared" si="22"/>
        <v>23161910</v>
      </c>
      <c r="Q49" s="586">
        <f t="shared" si="25"/>
        <v>2197159113</v>
      </c>
      <c r="R49" s="586">
        <f t="shared" si="25"/>
        <v>2197159113</v>
      </c>
      <c r="S49" s="682">
        <f>R49/Q49</f>
        <v>1</v>
      </c>
    </row>
    <row r="50" spans="1:19" s="293" customFormat="1" ht="15">
      <c r="A50" s="661" t="s">
        <v>359</v>
      </c>
      <c r="B50" s="586"/>
      <c r="C50" s="586"/>
      <c r="D50" s="678"/>
      <c r="E50" s="586">
        <f>SUM(C50+D50)</f>
        <v>0</v>
      </c>
      <c r="F50" s="586"/>
      <c r="G50" s="679"/>
      <c r="H50" s="586">
        <f>'4 bbb Önkorm'!BO56</f>
        <v>5168694000</v>
      </c>
      <c r="I50" s="586">
        <f>'4 bbb Önkorm'!BP56</f>
        <v>5178738007</v>
      </c>
      <c r="J50" s="680">
        <f>'4 bbb Önkorm'!BQ56</f>
        <v>-26423207</v>
      </c>
      <c r="K50" s="681">
        <f>'4 bbb Önkorm'!BR56</f>
        <v>5160549464</v>
      </c>
      <c r="L50" s="681">
        <f>'4 bbb Önkorm'!BS56</f>
        <v>4450264173</v>
      </c>
      <c r="M50" s="682">
        <f>L50/K50</f>
        <v>0.86240000000000006</v>
      </c>
      <c r="N50" s="586">
        <f t="shared" si="20"/>
        <v>5168694000</v>
      </c>
      <c r="O50" s="586">
        <f t="shared" si="21"/>
        <v>5178738007</v>
      </c>
      <c r="P50" s="586">
        <f t="shared" si="22"/>
        <v>-26423207</v>
      </c>
      <c r="Q50" s="586">
        <f t="shared" si="25"/>
        <v>5160549464</v>
      </c>
      <c r="R50" s="586">
        <f t="shared" si="25"/>
        <v>4450264173</v>
      </c>
      <c r="S50" s="682">
        <f>R50/Q50</f>
        <v>0.86240000000000006</v>
      </c>
    </row>
    <row r="51" spans="1:19" s="293" customFormat="1" ht="15">
      <c r="A51" s="661" t="s">
        <v>360</v>
      </c>
      <c r="B51" s="683"/>
      <c r="C51" s="683"/>
      <c r="D51" s="678"/>
      <c r="E51" s="586">
        <f>SUM(C51+D51)</f>
        <v>0</v>
      </c>
      <c r="F51" s="586"/>
      <c r="G51" s="679"/>
      <c r="H51" s="586">
        <f>'4 bbb Önkorm'!BO57</f>
        <v>0</v>
      </c>
      <c r="I51" s="586">
        <f>'4 bbb Önkorm'!BP57</f>
        <v>0</v>
      </c>
      <c r="J51" s="680">
        <f>'4 bbb Önkorm'!BQ57</f>
        <v>0</v>
      </c>
      <c r="K51" s="681">
        <f>'4 bbb Önkorm'!BR57</f>
        <v>3517000</v>
      </c>
      <c r="L51" s="681">
        <f>'4 bbb Önkorm'!BS57</f>
        <v>3517000</v>
      </c>
      <c r="M51" s="682"/>
      <c r="N51" s="586">
        <f t="shared" si="20"/>
        <v>0</v>
      </c>
      <c r="O51" s="586">
        <f t="shared" si="21"/>
        <v>0</v>
      </c>
      <c r="P51" s="586">
        <f t="shared" si="22"/>
        <v>0</v>
      </c>
      <c r="Q51" s="586">
        <f t="shared" si="25"/>
        <v>3517000</v>
      </c>
      <c r="R51" s="586">
        <f t="shared" si="25"/>
        <v>3517000</v>
      </c>
      <c r="S51" s="682"/>
    </row>
    <row r="52" spans="1:19" s="293" customFormat="1" ht="15">
      <c r="A52" s="661" t="s">
        <v>361</v>
      </c>
      <c r="B52" s="683"/>
      <c r="C52" s="683"/>
      <c r="D52" s="678"/>
      <c r="E52" s="586">
        <f>SUM(C52+D52)</f>
        <v>0</v>
      </c>
      <c r="F52" s="586"/>
      <c r="G52" s="679"/>
      <c r="H52" s="586">
        <f>'4 bbb Önkorm'!BO58</f>
        <v>906693000</v>
      </c>
      <c r="I52" s="586">
        <f>'4 bbb Önkorm'!BP58</f>
        <v>1149695333</v>
      </c>
      <c r="J52" s="680">
        <f>'4 bbb Önkorm'!BQ58</f>
        <v>-204727348</v>
      </c>
      <c r="K52" s="681">
        <f>'4 bbb Önkorm'!BR58</f>
        <v>929711234</v>
      </c>
      <c r="L52" s="681">
        <f>'4 bbb Önkorm'!BS58</f>
        <v>812905899</v>
      </c>
      <c r="M52" s="682">
        <f>L52/K52</f>
        <v>0.87439999999999996</v>
      </c>
      <c r="N52" s="586">
        <f t="shared" si="20"/>
        <v>906693000</v>
      </c>
      <c r="O52" s="586">
        <f t="shared" si="21"/>
        <v>1149695333</v>
      </c>
      <c r="P52" s="586">
        <f t="shared" si="22"/>
        <v>-204727348</v>
      </c>
      <c r="Q52" s="586">
        <f t="shared" si="25"/>
        <v>929711234</v>
      </c>
      <c r="R52" s="586">
        <f t="shared" si="25"/>
        <v>812905899</v>
      </c>
      <c r="S52" s="682">
        <f>R52/Q52</f>
        <v>0.87439999999999996</v>
      </c>
    </row>
    <row r="53" spans="1:19" s="293" customFormat="1" ht="17.25" customHeight="1">
      <c r="A53" s="635" t="s">
        <v>362</v>
      </c>
      <c r="B53" s="675"/>
      <c r="C53" s="675"/>
      <c r="D53" s="684"/>
      <c r="E53" s="579">
        <f>SUM(C53+D53)</f>
        <v>0</v>
      </c>
      <c r="F53" s="579"/>
      <c r="G53" s="676"/>
      <c r="H53" s="579">
        <f>'4 bbb Önkorm'!BO59</f>
        <v>0</v>
      </c>
      <c r="I53" s="579">
        <f>'4 bbb Önkorm'!BP59</f>
        <v>0</v>
      </c>
      <c r="J53" s="579">
        <f>'4 bbb Önkorm'!BQ59</f>
        <v>0</v>
      </c>
      <c r="K53" s="579">
        <f>'4 bbb Önkorm'!BR59</f>
        <v>0</v>
      </c>
      <c r="L53" s="579">
        <f>'4 bbb Önkorm'!BS59</f>
        <v>0</v>
      </c>
      <c r="M53" s="617"/>
      <c r="N53" s="619"/>
      <c r="O53" s="579">
        <f>SUM(C53+I53)</f>
        <v>0</v>
      </c>
      <c r="P53" s="685">
        <f>SUM(D53+J53)</f>
        <v>0</v>
      </c>
      <c r="Q53" s="619">
        <f>SUM(O53+P53)</f>
        <v>0</v>
      </c>
      <c r="R53" s="686">
        <f>O53-N53</f>
        <v>0</v>
      </c>
      <c r="S53" s="617"/>
    </row>
    <row r="54" spans="1:19" s="326" customFormat="1" ht="23.25" customHeight="1">
      <c r="A54" s="687" t="s">
        <v>363</v>
      </c>
      <c r="B54" s="688">
        <f>B42+B45+B48+B53</f>
        <v>0</v>
      </c>
      <c r="C54" s="688">
        <f>C42+C45+C48+C53</f>
        <v>0</v>
      </c>
      <c r="D54" s="688">
        <f>D42+D45+D48+D53</f>
        <v>0</v>
      </c>
      <c r="E54" s="688">
        <f>E42+E45+E48+E53</f>
        <v>0</v>
      </c>
      <c r="F54" s="688">
        <f>F42+F45+F48+F53</f>
        <v>0</v>
      </c>
      <c r="G54" s="689"/>
      <c r="H54" s="688">
        <f>H42+H45+H48+H53</f>
        <v>8124909298</v>
      </c>
      <c r="I54" s="688">
        <f>I42+I45+I48+I53</f>
        <v>8412469938</v>
      </c>
      <c r="J54" s="688">
        <f>J42+J45+J48+J53</f>
        <v>-207988645</v>
      </c>
      <c r="K54" s="688">
        <f>K42+K45+K48+K53</f>
        <v>14180936811</v>
      </c>
      <c r="L54" s="688">
        <f>L42+L45+L48+L53</f>
        <v>13353846185</v>
      </c>
      <c r="M54" s="583">
        <f t="shared" ref="M54:M61" si="26">L54/K54</f>
        <v>0.94169999999999998</v>
      </c>
      <c r="N54" s="688">
        <f>N42+N45+N48+N53</f>
        <v>8124909298</v>
      </c>
      <c r="O54" s="688">
        <f>O42+O45+O48+O53</f>
        <v>8412469938</v>
      </c>
      <c r="P54" s="688">
        <f>P42+P45+P48+P53</f>
        <v>-207988645</v>
      </c>
      <c r="Q54" s="688">
        <f>Q42+Q45+Q48+Q53</f>
        <v>14180936811</v>
      </c>
      <c r="R54" s="688">
        <f>R42+R45+R48+R53</f>
        <v>13353846185</v>
      </c>
      <c r="S54" s="583">
        <f t="shared" ref="S54:S61" si="27">R54/Q54</f>
        <v>0.94169999999999998</v>
      </c>
    </row>
    <row r="55" spans="1:19" s="293" customFormat="1" ht="16.5" customHeight="1">
      <c r="A55" s="690" t="s">
        <v>364</v>
      </c>
      <c r="B55" s="691"/>
      <c r="C55" s="683">
        <f>C44+C46+C49+C50</f>
        <v>0</v>
      </c>
      <c r="D55" s="678">
        <f>D44+D46+D49+D50</f>
        <v>0</v>
      </c>
      <c r="E55" s="586">
        <f>SUM(C55+D55)</f>
        <v>0</v>
      </c>
      <c r="F55" s="586">
        <f>C55-B55</f>
        <v>0</v>
      </c>
      <c r="G55" s="679"/>
      <c r="H55" s="683">
        <f>H44+H46+H49+H50</f>
        <v>7218216298</v>
      </c>
      <c r="I55" s="683">
        <f>I44+I46+I49+I50</f>
        <v>7262774605</v>
      </c>
      <c r="J55" s="683">
        <f>J44+J46+J49+J50</f>
        <v>-3261297</v>
      </c>
      <c r="K55" s="683">
        <f>K44+K46+K49+K50</f>
        <v>13247708577</v>
      </c>
      <c r="L55" s="683">
        <f>L44+L46+L49+L50</f>
        <v>12537423286</v>
      </c>
      <c r="M55" s="679">
        <f t="shared" si="26"/>
        <v>0.94640000000000002</v>
      </c>
      <c r="N55" s="683">
        <f t="shared" ref="N55:R56" si="28">SUM(B55+H55)</f>
        <v>7218216298</v>
      </c>
      <c r="O55" s="683">
        <f t="shared" si="28"/>
        <v>7262774605</v>
      </c>
      <c r="P55" s="683">
        <f t="shared" si="28"/>
        <v>-3261297</v>
      </c>
      <c r="Q55" s="683">
        <f t="shared" si="28"/>
        <v>13247708577</v>
      </c>
      <c r="R55" s="683">
        <f t="shared" si="28"/>
        <v>12537423286</v>
      </c>
      <c r="S55" s="679">
        <f t="shared" si="27"/>
        <v>0.94640000000000002</v>
      </c>
    </row>
    <row r="56" spans="1:19" s="293" customFormat="1" ht="16.5" customHeight="1">
      <c r="A56" s="692" t="s">
        <v>365</v>
      </c>
      <c r="B56" s="692"/>
      <c r="C56" s="693">
        <f>C43+C47+C51+C52+C53</f>
        <v>0</v>
      </c>
      <c r="D56" s="694">
        <f>D43+D47+D51+D52+D53</f>
        <v>0</v>
      </c>
      <c r="E56" s="559">
        <f>SUM(C56+D56)</f>
        <v>0</v>
      </c>
      <c r="F56" s="559">
        <f>C56-B56</f>
        <v>0</v>
      </c>
      <c r="G56" s="695"/>
      <c r="H56" s="693">
        <f>H43+H47+H51+H52+H53</f>
        <v>906693000</v>
      </c>
      <c r="I56" s="693">
        <f>I43+I47+I51+I52+I53</f>
        <v>1149695333</v>
      </c>
      <c r="J56" s="693">
        <f>J43+J47+J51+J52+J53</f>
        <v>-204727348</v>
      </c>
      <c r="K56" s="693">
        <f>K43+K47+K51+K52+K53</f>
        <v>933228234</v>
      </c>
      <c r="L56" s="693">
        <f>L43+L47+L51+L52+L53</f>
        <v>816422899</v>
      </c>
      <c r="M56" s="695">
        <f t="shared" si="26"/>
        <v>0.87480000000000002</v>
      </c>
      <c r="N56" s="693">
        <f t="shared" si="28"/>
        <v>906693000</v>
      </c>
      <c r="O56" s="693">
        <f t="shared" si="28"/>
        <v>1149695333</v>
      </c>
      <c r="P56" s="693">
        <f t="shared" si="28"/>
        <v>-204727348</v>
      </c>
      <c r="Q56" s="693">
        <f t="shared" si="28"/>
        <v>933228234</v>
      </c>
      <c r="R56" s="693">
        <f t="shared" si="28"/>
        <v>816422899</v>
      </c>
      <c r="S56" s="695">
        <f t="shared" si="27"/>
        <v>0.87480000000000002</v>
      </c>
    </row>
    <row r="57" spans="1:19" s="293" customFormat="1" ht="24" customHeight="1">
      <c r="A57" s="696" t="s">
        <v>132</v>
      </c>
      <c r="B57" s="395">
        <f>B40+B54</f>
        <v>9888150085</v>
      </c>
      <c r="C57" s="395">
        <f>C40+C54</f>
        <v>10471326124</v>
      </c>
      <c r="D57" s="395">
        <f>D40+D54</f>
        <v>-208715743</v>
      </c>
      <c r="E57" s="395">
        <f>E40+E54</f>
        <v>10493891928</v>
      </c>
      <c r="F57" s="395">
        <f>F40+F54</f>
        <v>9551291715</v>
      </c>
      <c r="G57" s="697">
        <f>F57/E57</f>
        <v>0.91020000000000001</v>
      </c>
      <c r="H57" s="395">
        <f>H40+H54</f>
        <v>14586221498</v>
      </c>
      <c r="I57" s="395">
        <f>I40+I54</f>
        <v>16054183315</v>
      </c>
      <c r="J57" s="395">
        <f>J40+J54</f>
        <v>33255414</v>
      </c>
      <c r="K57" s="395">
        <f>K40+K54</f>
        <v>22747052792</v>
      </c>
      <c r="L57" s="395">
        <f>L40+L54</f>
        <v>18402338256</v>
      </c>
      <c r="M57" s="698">
        <f t="shared" si="26"/>
        <v>0.80900000000000005</v>
      </c>
      <c r="N57" s="395">
        <f>N40+N54</f>
        <v>24474371583</v>
      </c>
      <c r="O57" s="395">
        <f>O40+O54</f>
        <v>26525509439</v>
      </c>
      <c r="P57" s="395">
        <f>P40+P54</f>
        <v>-175460329</v>
      </c>
      <c r="Q57" s="395">
        <f>Q40+Q54</f>
        <v>33240944720</v>
      </c>
      <c r="R57" s="395">
        <f>R40+R54</f>
        <v>27953629971</v>
      </c>
      <c r="S57" s="698">
        <f t="shared" si="27"/>
        <v>0.84089999999999998</v>
      </c>
    </row>
    <row r="58" spans="1:19" s="293" customFormat="1" ht="19.5" customHeight="1">
      <c r="A58" s="699" t="s">
        <v>133</v>
      </c>
      <c r="B58" s="700"/>
      <c r="C58" s="700"/>
      <c r="D58" s="701"/>
      <c r="E58" s="702">
        <f t="shared" ref="E58:F60" si="29">SUM(C58+D58)</f>
        <v>0</v>
      </c>
      <c r="F58" s="702">
        <f t="shared" si="29"/>
        <v>0</v>
      </c>
      <c r="G58" s="703"/>
      <c r="H58" s="704">
        <f>'4 c Önk Korrekció'!Q55+'4 c Önk Korrekció'!Q56</f>
        <v>-7218216298</v>
      </c>
      <c r="I58" s="704">
        <f>'4 c Önk Korrekció'!R55+'4 c Önk Korrekció'!R56</f>
        <v>-7262774605</v>
      </c>
      <c r="J58" s="704">
        <f>'4 c Önk Korrekció'!S55+'4 c Önk Korrekció'!S56</f>
        <v>3261297</v>
      </c>
      <c r="K58" s="704">
        <f>'4 c Önk Korrekció'!T55+'4 c Önk Korrekció'!T56</f>
        <v>-7357708577</v>
      </c>
      <c r="L58" s="704">
        <f>'4 c Önk Korrekció'!U55+'4 c Önk Korrekció'!U56</f>
        <v>-6647423286</v>
      </c>
      <c r="M58" s="705">
        <f t="shared" si="26"/>
        <v>0.90349999999999997</v>
      </c>
      <c r="N58" s="706">
        <f t="shared" ref="N58:R60" si="30">SUM(B58+H58)</f>
        <v>-7218216298</v>
      </c>
      <c r="O58" s="706">
        <f t="shared" si="30"/>
        <v>-7262774605</v>
      </c>
      <c r="P58" s="706">
        <f t="shared" si="30"/>
        <v>3261297</v>
      </c>
      <c r="Q58" s="706">
        <f t="shared" si="30"/>
        <v>-7357708577</v>
      </c>
      <c r="R58" s="706">
        <f t="shared" si="30"/>
        <v>-6647423286</v>
      </c>
      <c r="S58" s="705">
        <f t="shared" si="27"/>
        <v>0.90349999999999997</v>
      </c>
    </row>
    <row r="59" spans="1:19" s="308" customFormat="1" ht="17.25" customHeight="1">
      <c r="A59" s="707" t="s">
        <v>134</v>
      </c>
      <c r="B59" s="708"/>
      <c r="C59" s="708"/>
      <c r="D59" s="709"/>
      <c r="E59" s="710">
        <f t="shared" si="29"/>
        <v>0</v>
      </c>
      <c r="F59" s="710">
        <f t="shared" si="29"/>
        <v>0</v>
      </c>
      <c r="G59" s="711"/>
      <c r="H59" s="712">
        <f>'4 c Önk Korrekció'!Q57+'4 c Önk Korrekció'!Q58</f>
        <v>-906693000</v>
      </c>
      <c r="I59" s="712">
        <f>'4 c Önk Korrekció'!R57+'4 c Önk Korrekció'!R58</f>
        <v>-1149695333</v>
      </c>
      <c r="J59" s="712">
        <f>'4 c Önk Korrekció'!S57+'4 c Önk Korrekció'!S58</f>
        <v>204727348</v>
      </c>
      <c r="K59" s="712">
        <f>'4 c Önk Korrekció'!T57+'4 c Önk Korrekció'!T58</f>
        <v>-933228234</v>
      </c>
      <c r="L59" s="712">
        <f>'4 c Önk Korrekció'!U57+'4 c Önk Korrekció'!U58</f>
        <v>-816422899</v>
      </c>
      <c r="M59" s="713">
        <f t="shared" si="26"/>
        <v>0.87480000000000002</v>
      </c>
      <c r="N59" s="712">
        <f t="shared" si="30"/>
        <v>-906693000</v>
      </c>
      <c r="O59" s="712">
        <f t="shared" si="30"/>
        <v>-1149695333</v>
      </c>
      <c r="P59" s="712">
        <f t="shared" si="30"/>
        <v>204727348</v>
      </c>
      <c r="Q59" s="712">
        <f t="shared" si="30"/>
        <v>-933228234</v>
      </c>
      <c r="R59" s="712">
        <f t="shared" si="30"/>
        <v>-816422899</v>
      </c>
      <c r="S59" s="713">
        <f t="shared" si="27"/>
        <v>0.87480000000000002</v>
      </c>
    </row>
    <row r="60" spans="1:19" s="308" customFormat="1" ht="19.5" customHeight="1">
      <c r="A60" s="714" t="s">
        <v>57</v>
      </c>
      <c r="B60" s="715">
        <f>SUM(B58+B59)</f>
        <v>0</v>
      </c>
      <c r="C60" s="715">
        <f>SUM(C58+C59)</f>
        <v>0</v>
      </c>
      <c r="D60" s="716">
        <f>SUM(D58+D59)</f>
        <v>0</v>
      </c>
      <c r="E60" s="717">
        <f t="shared" si="29"/>
        <v>0</v>
      </c>
      <c r="F60" s="717">
        <f t="shared" si="29"/>
        <v>0</v>
      </c>
      <c r="G60" s="718"/>
      <c r="H60" s="717">
        <f>SUM(H58+H59)</f>
        <v>-8124909298</v>
      </c>
      <c r="I60" s="717">
        <f>SUM(I58+I59)</f>
        <v>-8412469938</v>
      </c>
      <c r="J60" s="717">
        <f>SUM(J58+J59)</f>
        <v>207988645</v>
      </c>
      <c r="K60" s="717">
        <f>SUM(K58+K59)</f>
        <v>-8290936811</v>
      </c>
      <c r="L60" s="717">
        <f>SUM(L58+L59)</f>
        <v>-7463846185</v>
      </c>
      <c r="M60" s="718">
        <f t="shared" si="26"/>
        <v>0.9002</v>
      </c>
      <c r="N60" s="717">
        <f t="shared" si="30"/>
        <v>-8124909298</v>
      </c>
      <c r="O60" s="717">
        <f t="shared" si="30"/>
        <v>-8412469938</v>
      </c>
      <c r="P60" s="717">
        <f t="shared" si="30"/>
        <v>207988645</v>
      </c>
      <c r="Q60" s="717">
        <f t="shared" si="30"/>
        <v>-8290936811</v>
      </c>
      <c r="R60" s="717">
        <f t="shared" si="30"/>
        <v>-7463846185</v>
      </c>
      <c r="S60" s="718">
        <f t="shared" si="27"/>
        <v>0.9002</v>
      </c>
    </row>
    <row r="61" spans="1:19" s="293" customFormat="1" ht="24" customHeight="1">
      <c r="A61" s="696" t="s">
        <v>366</v>
      </c>
      <c r="B61" s="395">
        <f>B57+B60</f>
        <v>9888150085</v>
      </c>
      <c r="C61" s="395">
        <f>C57+C60</f>
        <v>10471326124</v>
      </c>
      <c r="D61" s="395">
        <f>D57+D60</f>
        <v>-208715743</v>
      </c>
      <c r="E61" s="395">
        <f>E57+E60</f>
        <v>10493891928</v>
      </c>
      <c r="F61" s="395">
        <f>F57+F60</f>
        <v>9551291715</v>
      </c>
      <c r="G61" s="697">
        <f>F61/E61</f>
        <v>0.91020000000000001</v>
      </c>
      <c r="H61" s="395">
        <f>H57+H60</f>
        <v>6461312200</v>
      </c>
      <c r="I61" s="395">
        <f>I57+I60</f>
        <v>7641713377</v>
      </c>
      <c r="J61" s="395">
        <f>J57+J60</f>
        <v>241244059</v>
      </c>
      <c r="K61" s="395">
        <f>K57+K60</f>
        <v>14456115981</v>
      </c>
      <c r="L61" s="395">
        <f>L57+L60</f>
        <v>10938492071</v>
      </c>
      <c r="M61" s="698">
        <f t="shared" si="26"/>
        <v>0.75670000000000004</v>
      </c>
      <c r="N61" s="395">
        <f>N57+N60</f>
        <v>16349462285</v>
      </c>
      <c r="O61" s="395">
        <f>O57+O60</f>
        <v>18113039501</v>
      </c>
      <c r="P61" s="395">
        <f>P57+P60</f>
        <v>32528316</v>
      </c>
      <c r="Q61" s="395">
        <f>Q57+Q60</f>
        <v>24950007909</v>
      </c>
      <c r="R61" s="395">
        <f>R57+R60</f>
        <v>20489783786</v>
      </c>
      <c r="S61" s="698">
        <f t="shared" si="27"/>
        <v>0.82120000000000004</v>
      </c>
    </row>
  </sheetData>
  <sheetProtection selectLockedCells="1" selectUnlockedCells="1"/>
  <mergeCells count="7">
    <mergeCell ref="A1:S1"/>
    <mergeCell ref="B3:G3"/>
    <mergeCell ref="H3:M3"/>
    <mergeCell ref="N3:S3"/>
    <mergeCell ref="B4:F4"/>
    <mergeCell ref="H4:L4"/>
    <mergeCell ref="N4:R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rstPageNumber="0" orientation="landscape" horizontalDpi="300" verticalDpi="300" r:id="rId1"/>
  <headerFooter alignWithMargins="0">
    <oddHeader>&amp;R&amp;8 3. m. a 2016. évi költségvetésről szóló 5/2016. (II.29.) önkormányzati rendelet végrehajtásáról szóló 11/2017. (V.3.) önkormányzati rendelethez</oddHeader>
    <oddFooter>&amp;C&amp;P. oldal</oddFooter>
  </headerFooter>
  <rowBreaks count="1" manualBreakCount="1">
    <brk id="40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K561"/>
  <sheetViews>
    <sheetView view="pageBreakPreview" zoomScaleSheetLayoutView="100" workbookViewId="0">
      <pane ySplit="4" topLeftCell="A485" activePane="bottomLeft" state="frozen"/>
      <selection pane="bottomLeft" activeCell="B403" sqref="B403"/>
    </sheetView>
  </sheetViews>
  <sheetFormatPr defaultRowHeight="15"/>
  <cols>
    <col min="1" max="1" width="2.85546875" style="297" customWidth="1"/>
    <col min="2" max="2" width="64.140625" style="719" customWidth="1"/>
    <col min="3" max="3" width="14.85546875" style="720" customWidth="1"/>
    <col min="4" max="4" width="2.7109375" style="297" customWidth="1"/>
    <col min="5" max="5" width="12.28515625" style="415" customWidth="1"/>
    <col min="6" max="7" width="0" style="297" hidden="1" customWidth="1"/>
    <col min="8" max="8" width="12.42578125" style="297" customWidth="1"/>
    <col min="9" max="9" width="12.5703125" style="630" customWidth="1"/>
    <col min="10" max="10" width="18.28515625" style="297" customWidth="1"/>
    <col min="11" max="11" width="8.85546875" style="297" customWidth="1"/>
    <col min="12" max="13" width="9.140625" style="297"/>
    <col min="14" max="14" width="9" style="297" customWidth="1"/>
    <col min="15" max="16384" width="9.140625" style="297"/>
  </cols>
  <sheetData>
    <row r="1" spans="1:10" ht="54" customHeight="1">
      <c r="A1" s="1697" t="s">
        <v>1348</v>
      </c>
      <c r="B1" s="1697"/>
      <c r="C1" s="1697"/>
      <c r="D1" s="1697"/>
      <c r="E1" s="1697"/>
      <c r="F1" s="1697"/>
      <c r="G1" s="1697"/>
      <c r="H1" s="1697"/>
      <c r="I1" s="1697"/>
    </row>
    <row r="2" spans="1:10" ht="13.5" customHeight="1">
      <c r="B2" s="721"/>
      <c r="C2" s="722"/>
      <c r="D2" s="721"/>
      <c r="E2" s="723"/>
      <c r="F2" s="724"/>
      <c r="H2" s="298"/>
      <c r="I2" s="725" t="s">
        <v>0</v>
      </c>
    </row>
    <row r="3" spans="1:10" ht="43.5" customHeight="1">
      <c r="A3" s="726"/>
      <c r="B3" s="727" t="s">
        <v>68</v>
      </c>
      <c r="C3" s="728"/>
      <c r="D3" s="727"/>
      <c r="E3" s="300" t="s">
        <v>138</v>
      </c>
      <c r="F3" s="729" t="s">
        <v>139</v>
      </c>
      <c r="G3" s="730" t="s">
        <v>4</v>
      </c>
      <c r="H3" s="300" t="s">
        <v>5</v>
      </c>
      <c r="I3" s="12" t="s">
        <v>140</v>
      </c>
      <c r="J3" s="297" t="s">
        <v>367</v>
      </c>
    </row>
    <row r="4" spans="1:10" ht="10.5" hidden="1" customHeight="1">
      <c r="A4" s="433"/>
      <c r="B4" s="721"/>
      <c r="C4" s="722"/>
      <c r="D4" s="721"/>
      <c r="E4" s="723"/>
      <c r="F4" s="305"/>
      <c r="G4" s="305"/>
      <c r="H4" s="305"/>
      <c r="J4" s="731"/>
    </row>
    <row r="5" spans="1:10" ht="15" customHeight="1">
      <c r="A5" s="732" t="s">
        <v>142</v>
      </c>
      <c r="F5" s="733"/>
      <c r="G5" s="733"/>
      <c r="H5" s="733"/>
    </row>
    <row r="6" spans="1:10" ht="15" customHeight="1">
      <c r="A6" s="434"/>
      <c r="B6" s="734" t="s">
        <v>368</v>
      </c>
      <c r="F6" s="733"/>
      <c r="G6" s="733"/>
      <c r="H6" s="733"/>
    </row>
    <row r="7" spans="1:10" ht="10.5" customHeight="1">
      <c r="A7" s="434"/>
      <c r="F7" s="733"/>
      <c r="G7" s="733"/>
      <c r="H7" s="733"/>
    </row>
    <row r="8" spans="1:10" ht="15" hidden="1" customHeight="1">
      <c r="A8" s="732"/>
      <c r="F8" s="733"/>
      <c r="G8" s="733"/>
      <c r="H8" s="733"/>
    </row>
    <row r="9" spans="1:10" ht="15" customHeight="1">
      <c r="B9" s="735" t="s">
        <v>369</v>
      </c>
      <c r="C9" s="736"/>
      <c r="D9" s="429"/>
      <c r="E9" s="411"/>
      <c r="F9" s="406"/>
    </row>
    <row r="10" spans="1:10" ht="15" customHeight="1">
      <c r="B10" s="719" t="s">
        <v>370</v>
      </c>
      <c r="F10" s="415">
        <v>0</v>
      </c>
      <c r="G10" s="737"/>
      <c r="H10" s="415"/>
      <c r="I10" s="633"/>
    </row>
    <row r="11" spans="1:10" ht="15" hidden="1" customHeight="1">
      <c r="B11" s="738"/>
      <c r="C11" s="739"/>
      <c r="E11" s="319"/>
      <c r="G11" s="737"/>
      <c r="H11" s="415">
        <f t="shared" ref="H11:H22" si="0">SUM(F11:G11)</f>
        <v>0</v>
      </c>
      <c r="I11" s="633">
        <f>F11-E11</f>
        <v>0</v>
      </c>
    </row>
    <row r="12" spans="1:10" ht="15" hidden="1" customHeight="1">
      <c r="B12" s="738"/>
      <c r="C12" s="739"/>
      <c r="E12" s="319"/>
      <c r="F12" s="415"/>
      <c r="G12" s="737"/>
      <c r="H12" s="415">
        <f t="shared" si="0"/>
        <v>0</v>
      </c>
      <c r="I12" s="633">
        <f>F12-E12</f>
        <v>0</v>
      </c>
    </row>
    <row r="13" spans="1:10" ht="15" hidden="1" customHeight="1">
      <c r="B13" s="385"/>
      <c r="C13" s="739"/>
      <c r="E13" s="319"/>
      <c r="F13" s="415"/>
      <c r="G13" s="737"/>
      <c r="H13" s="415">
        <f t="shared" si="0"/>
        <v>0</v>
      </c>
    </row>
    <row r="14" spans="1:10" ht="15" hidden="1" customHeight="1">
      <c r="F14" s="415"/>
      <c r="G14" s="737"/>
      <c r="H14" s="415">
        <f t="shared" si="0"/>
        <v>0</v>
      </c>
    </row>
    <row r="15" spans="1:10" ht="12.75" hidden="1" customHeight="1">
      <c r="B15" s="738"/>
      <c r="D15" s="630"/>
      <c r="E15" s="633"/>
      <c r="F15" s="633"/>
      <c r="G15" s="737"/>
      <c r="H15" s="633">
        <f t="shared" si="0"/>
        <v>0</v>
      </c>
    </row>
    <row r="16" spans="1:10" ht="17.25" hidden="1" customHeight="1">
      <c r="B16" s="385"/>
      <c r="D16" s="630"/>
      <c r="E16" s="633"/>
      <c r="F16" s="633"/>
      <c r="G16" s="737"/>
      <c r="H16" s="633">
        <f t="shared" si="0"/>
        <v>0</v>
      </c>
    </row>
    <row r="17" spans="2:10" ht="12.75" hidden="1" customHeight="1">
      <c r="B17" s="738"/>
      <c r="D17" s="630"/>
      <c r="E17" s="633"/>
      <c r="F17" s="633"/>
      <c r="G17" s="737"/>
      <c r="H17" s="633">
        <f t="shared" si="0"/>
        <v>0</v>
      </c>
    </row>
    <row r="18" spans="2:10" ht="15" hidden="1" customHeight="1">
      <c r="F18" s="415"/>
      <c r="G18" s="737"/>
      <c r="H18" s="415">
        <f t="shared" si="0"/>
        <v>0</v>
      </c>
    </row>
    <row r="19" spans="2:10" ht="15" hidden="1" customHeight="1">
      <c r="F19" s="415"/>
      <c r="G19" s="737"/>
      <c r="H19" s="415">
        <f t="shared" si="0"/>
        <v>0</v>
      </c>
    </row>
    <row r="20" spans="2:10" ht="15" hidden="1" customHeight="1">
      <c r="F20" s="415"/>
      <c r="G20" s="737"/>
      <c r="H20" s="415">
        <f t="shared" si="0"/>
        <v>0</v>
      </c>
    </row>
    <row r="21" spans="2:10" ht="12.75" hidden="1" customHeight="1">
      <c r="B21" s="738"/>
      <c r="D21" s="630"/>
      <c r="E21" s="633"/>
      <c r="F21" s="633"/>
      <c r="G21" s="737"/>
      <c r="H21" s="633">
        <f t="shared" si="0"/>
        <v>0</v>
      </c>
    </row>
    <row r="22" spans="2:10" ht="15" hidden="1" customHeight="1">
      <c r="F22" s="415"/>
      <c r="G22" s="737"/>
      <c r="H22" s="415">
        <f t="shared" si="0"/>
        <v>0</v>
      </c>
    </row>
    <row r="23" spans="2:10" ht="15" customHeight="1">
      <c r="B23" s="738" t="s">
        <v>371</v>
      </c>
      <c r="F23" s="415"/>
      <c r="G23" s="737"/>
      <c r="H23" s="415">
        <v>0</v>
      </c>
      <c r="I23" s="630">
        <v>0</v>
      </c>
    </row>
    <row r="24" spans="2:10" ht="15" customHeight="1">
      <c r="B24" s="738" t="s">
        <v>372</v>
      </c>
      <c r="F24" s="415"/>
      <c r="G24" s="737"/>
      <c r="H24" s="415">
        <v>666532</v>
      </c>
      <c r="I24" s="633">
        <f>85402+581130</f>
        <v>666532</v>
      </c>
    </row>
    <row r="25" spans="2:10" ht="12.75" customHeight="1"/>
    <row r="26" spans="2:10" ht="15" customHeight="1">
      <c r="B26" s="740" t="s">
        <v>373</v>
      </c>
      <c r="C26" s="741"/>
      <c r="D26" s="742"/>
      <c r="E26" s="334">
        <f>SUM(E10:E25)</f>
        <v>0</v>
      </c>
      <c r="F26" s="334">
        <f>SUM(F10:F25)</f>
        <v>0</v>
      </c>
      <c r="G26" s="328">
        <f>SUM(G10:G25)</f>
        <v>0</v>
      </c>
      <c r="H26" s="329">
        <f>SUM(H10:H25)</f>
        <v>666532</v>
      </c>
      <c r="I26" s="329">
        <f>SUM(I10:I25)</f>
        <v>666532</v>
      </c>
      <c r="J26" s="415">
        <f>SUM(F26:G26)</f>
        <v>0</v>
      </c>
    </row>
    <row r="27" spans="2:10" ht="9" customHeight="1"/>
    <row r="28" spans="2:10" ht="15" customHeight="1">
      <c r="B28" s="735" t="s">
        <v>374</v>
      </c>
      <c r="C28" s="743"/>
      <c r="D28" s="429"/>
      <c r="G28" s="744"/>
    </row>
    <row r="29" spans="2:10" ht="17.25" customHeight="1">
      <c r="B29" s="738" t="s">
        <v>372</v>
      </c>
      <c r="C29" s="739"/>
      <c r="E29" s="319"/>
      <c r="F29" s="415"/>
      <c r="G29" s="737"/>
      <c r="H29" s="415">
        <v>440007</v>
      </c>
      <c r="I29" s="633">
        <v>440007</v>
      </c>
    </row>
    <row r="30" spans="2:10" ht="17.25" hidden="1" customHeight="1">
      <c r="B30" s="385"/>
      <c r="C30" s="739"/>
      <c r="E30" s="319"/>
      <c r="F30" s="415"/>
      <c r="G30" s="737"/>
      <c r="H30" s="415">
        <f t="shared" ref="H30:H42" si="1">SUM(F30:G30)</f>
        <v>0</v>
      </c>
      <c r="I30" s="633">
        <f>F30-E30</f>
        <v>0</v>
      </c>
    </row>
    <row r="31" spans="2:10" ht="17.25" hidden="1" customHeight="1">
      <c r="B31" s="385"/>
      <c r="C31" s="745"/>
      <c r="F31" s="415">
        <v>0</v>
      </c>
      <c r="G31" s="737"/>
      <c r="H31" s="415">
        <f t="shared" si="1"/>
        <v>0</v>
      </c>
    </row>
    <row r="32" spans="2:10" ht="15" hidden="1" customHeight="1">
      <c r="B32" s="385"/>
      <c r="C32" s="739"/>
      <c r="F32" s="415">
        <v>0</v>
      </c>
      <c r="G32" s="737"/>
      <c r="H32" s="415">
        <f t="shared" si="1"/>
        <v>0</v>
      </c>
    </row>
    <row r="33" spans="2:10" ht="15" hidden="1" customHeight="1">
      <c r="B33" s="385"/>
      <c r="C33" s="739"/>
      <c r="F33" s="415">
        <v>0</v>
      </c>
      <c r="G33" s="737"/>
      <c r="H33" s="415">
        <f t="shared" si="1"/>
        <v>0</v>
      </c>
    </row>
    <row r="34" spans="2:10" ht="15" hidden="1" customHeight="1">
      <c r="B34" s="746"/>
      <c r="F34" s="415">
        <v>0</v>
      </c>
      <c r="G34" s="737"/>
      <c r="H34" s="415">
        <f t="shared" si="1"/>
        <v>0</v>
      </c>
    </row>
    <row r="35" spans="2:10" ht="15" hidden="1" customHeight="1">
      <c r="B35" s="746"/>
      <c r="F35" s="415">
        <v>0</v>
      </c>
      <c r="G35" s="737"/>
      <c r="H35" s="415">
        <f t="shared" si="1"/>
        <v>0</v>
      </c>
    </row>
    <row r="36" spans="2:10" ht="15" hidden="1" customHeight="1">
      <c r="B36" s="385"/>
      <c r="F36" s="415">
        <v>0</v>
      </c>
      <c r="G36" s="737"/>
      <c r="H36" s="415">
        <f t="shared" si="1"/>
        <v>0</v>
      </c>
    </row>
    <row r="37" spans="2:10" ht="15" hidden="1" customHeight="1">
      <c r="B37" s="746"/>
      <c r="F37" s="415">
        <v>0</v>
      </c>
      <c r="G37" s="737"/>
      <c r="H37" s="415">
        <f t="shared" si="1"/>
        <v>0</v>
      </c>
    </row>
    <row r="38" spans="2:10" ht="15" hidden="1" customHeight="1">
      <c r="B38" s="746"/>
      <c r="C38" s="745"/>
      <c r="F38" s="415">
        <v>0</v>
      </c>
      <c r="G38" s="737"/>
      <c r="H38" s="415">
        <f t="shared" si="1"/>
        <v>0</v>
      </c>
    </row>
    <row r="39" spans="2:10" ht="15" hidden="1" customHeight="1">
      <c r="B39" s="746"/>
      <c r="C39" s="745"/>
      <c r="F39" s="415">
        <v>0</v>
      </c>
      <c r="G39" s="737"/>
      <c r="H39" s="415">
        <f t="shared" si="1"/>
        <v>0</v>
      </c>
    </row>
    <row r="40" spans="2:10" ht="15" hidden="1" customHeight="1">
      <c r="B40" s="746"/>
      <c r="C40" s="745"/>
      <c r="F40" s="415">
        <v>0</v>
      </c>
      <c r="G40" s="737"/>
      <c r="H40" s="415">
        <f t="shared" si="1"/>
        <v>0</v>
      </c>
    </row>
    <row r="41" spans="2:10" ht="15" hidden="1" customHeight="1">
      <c r="B41" s="385"/>
      <c r="F41" s="415">
        <v>0</v>
      </c>
      <c r="G41" s="737"/>
      <c r="H41" s="415">
        <f t="shared" si="1"/>
        <v>0</v>
      </c>
      <c r="J41" s="415"/>
    </row>
    <row r="42" spans="2:10" ht="15" hidden="1" customHeight="1">
      <c r="B42" s="385"/>
      <c r="F42" s="415">
        <v>0</v>
      </c>
      <c r="G42" s="737"/>
      <c r="H42" s="415">
        <f t="shared" si="1"/>
        <v>0</v>
      </c>
      <c r="J42" s="415"/>
    </row>
    <row r="43" spans="2:10" ht="10.5" customHeight="1">
      <c r="B43" s="747"/>
      <c r="C43" s="741"/>
      <c r="D43" s="748"/>
      <c r="E43" s="447"/>
      <c r="F43" s="447"/>
      <c r="G43" s="332"/>
      <c r="H43" s="447"/>
    </row>
    <row r="44" spans="2:10" ht="15" customHeight="1">
      <c r="B44" s="740" t="s">
        <v>375</v>
      </c>
      <c r="C44" s="741"/>
      <c r="D44" s="742"/>
      <c r="E44" s="334">
        <f>SUM(E29:E43)</f>
        <v>0</v>
      </c>
      <c r="F44" s="334">
        <f>SUM(F29:F43)</f>
        <v>0</v>
      </c>
      <c r="G44" s="328">
        <f>SUM(G29:G43)</f>
        <v>0</v>
      </c>
      <c r="H44" s="329">
        <f>SUM(H29:H43)</f>
        <v>440007</v>
      </c>
      <c r="I44" s="329">
        <f>SUM(I29:I43)</f>
        <v>440007</v>
      </c>
      <c r="J44" s="415">
        <f>SUM(F44:G44)</f>
        <v>0</v>
      </c>
    </row>
    <row r="45" spans="2:10" ht="11.25" customHeight="1">
      <c r="I45" s="297"/>
    </row>
    <row r="46" spans="2:10" ht="15.75" customHeight="1">
      <c r="B46" s="734" t="s">
        <v>376</v>
      </c>
      <c r="C46" s="297"/>
      <c r="D46" s="749"/>
      <c r="E46" s="297"/>
      <c r="I46" s="750"/>
      <c r="J46" s="483"/>
    </row>
    <row r="47" spans="2:10" ht="12.75" customHeight="1">
      <c r="B47" s="751"/>
      <c r="C47" s="297"/>
      <c r="D47" s="749"/>
      <c r="E47" s="297"/>
      <c r="I47" s="750"/>
      <c r="J47" s="483"/>
    </row>
    <row r="48" spans="2:10" ht="15.75" customHeight="1">
      <c r="B48" s="752" t="s">
        <v>377</v>
      </c>
      <c r="C48" s="297"/>
      <c r="D48" s="749"/>
      <c r="E48" s="319"/>
      <c r="F48" s="415"/>
      <c r="G48" s="737"/>
      <c r="H48" s="415">
        <v>0</v>
      </c>
      <c r="I48" s="633"/>
      <c r="J48" s="483"/>
    </row>
    <row r="49" spans="1:10" ht="15.75" hidden="1" customHeight="1">
      <c r="B49" s="752"/>
      <c r="C49" s="297"/>
      <c r="D49" s="749"/>
      <c r="E49" s="297"/>
      <c r="F49" s="415"/>
      <c r="G49" s="737">
        <f>SUM(I49:K49)</f>
        <v>0</v>
      </c>
      <c r="H49" s="415">
        <f>SUM(F49:G49)</f>
        <v>0</v>
      </c>
      <c r="I49" s="750"/>
      <c r="J49" s="483"/>
    </row>
    <row r="50" spans="1:10" ht="15.75" hidden="1" customHeight="1">
      <c r="B50" s="752"/>
      <c r="C50" s="297"/>
      <c r="D50" s="749"/>
      <c r="E50" s="297"/>
      <c r="F50" s="415"/>
      <c r="G50" s="737">
        <f>SUM(I50:AZ50)</f>
        <v>0</v>
      </c>
      <c r="H50" s="415">
        <f>SUM(F50:G50)</f>
        <v>0</v>
      </c>
      <c r="I50" s="750"/>
      <c r="J50" s="483"/>
    </row>
    <row r="51" spans="1:10" ht="15.75" customHeight="1">
      <c r="B51" s="751"/>
      <c r="C51" s="297"/>
      <c r="D51" s="749"/>
      <c r="E51" s="297"/>
      <c r="F51" s="415"/>
      <c r="G51" s="744"/>
      <c r="H51" s="633"/>
      <c r="I51" s="750"/>
      <c r="J51" s="483"/>
    </row>
    <row r="52" spans="1:10" ht="15.75" customHeight="1">
      <c r="B52" s="740" t="s">
        <v>378</v>
      </c>
      <c r="C52" s="297"/>
      <c r="D52" s="749"/>
      <c r="E52" s="334">
        <f>SUM(E47:E51)</f>
        <v>0</v>
      </c>
      <c r="F52" s="334">
        <f>SUM(F47:F51)</f>
        <v>0</v>
      </c>
      <c r="G52" s="328">
        <f>SUM(G47:G51)</f>
        <v>0</v>
      </c>
      <c r="H52" s="329">
        <f>SUM(H47:H51)</f>
        <v>0</v>
      </c>
      <c r="I52" s="329">
        <f>SUM(I47:I51)</f>
        <v>0</v>
      </c>
      <c r="J52" s="483"/>
    </row>
    <row r="53" spans="1:10" ht="11.25" customHeight="1">
      <c r="B53" s="753"/>
      <c r="I53" s="297"/>
    </row>
    <row r="54" spans="1:10" ht="15" customHeight="1">
      <c r="B54" s="754" t="s">
        <v>379</v>
      </c>
      <c r="C54" s="755" t="s">
        <v>380</v>
      </c>
      <c r="D54" s="742"/>
      <c r="E54" s="334">
        <f>SUM(E26+E44)</f>
        <v>0</v>
      </c>
      <c r="F54" s="334">
        <f>SUM(F26+F44+F52)</f>
        <v>0</v>
      </c>
      <c r="G54" s="328">
        <f>SUM(G26+G44+G52)</f>
        <v>0</v>
      </c>
      <c r="H54" s="334">
        <f>SUM(H26+H44)</f>
        <v>1106539</v>
      </c>
      <c r="I54" s="334">
        <f>SUM(I26+I44)</f>
        <v>1106539</v>
      </c>
      <c r="J54" s="415">
        <f>SUM(F54:G54)</f>
        <v>0</v>
      </c>
    </row>
    <row r="55" spans="1:10" ht="15.75" customHeight="1">
      <c r="B55" s="734"/>
      <c r="C55" s="741"/>
      <c r="D55" s="742"/>
      <c r="E55" s="343"/>
      <c r="F55" s="343"/>
      <c r="G55" s="332"/>
      <c r="H55" s="343"/>
      <c r="I55" s="343"/>
      <c r="J55" s="415"/>
    </row>
    <row r="56" spans="1:10" ht="15" customHeight="1">
      <c r="I56" s="297"/>
    </row>
    <row r="57" spans="1:10" ht="15" hidden="1" customHeight="1">
      <c r="A57" s="498"/>
      <c r="B57" s="735" t="s">
        <v>381</v>
      </c>
      <c r="I57" s="297"/>
    </row>
    <row r="58" spans="1:10" ht="16.5" hidden="1" customHeight="1">
      <c r="A58" s="498"/>
      <c r="B58" s="735" t="s">
        <v>382</v>
      </c>
      <c r="I58" s="297"/>
    </row>
    <row r="59" spans="1:10" ht="8.25" hidden="1" customHeight="1">
      <c r="A59" s="498"/>
      <c r="B59" s="735"/>
      <c r="E59" s="756"/>
      <c r="F59" s="756"/>
      <c r="G59" s="744"/>
      <c r="H59" s="415"/>
      <c r="I59" s="415"/>
    </row>
    <row r="60" spans="1:10" ht="15" hidden="1" customHeight="1">
      <c r="A60" s="498"/>
      <c r="E60" s="756"/>
      <c r="F60" s="756"/>
      <c r="G60" s="737"/>
      <c r="H60" s="415"/>
      <c r="I60" s="415"/>
    </row>
    <row r="61" spans="1:10" ht="15" hidden="1" customHeight="1">
      <c r="A61" s="498"/>
      <c r="E61" s="756"/>
      <c r="F61" s="756"/>
      <c r="G61" s="737"/>
      <c r="H61" s="415">
        <f>SUM(F61:G61)</f>
        <v>0</v>
      </c>
      <c r="I61" s="415">
        <f>SUM(G61:H61)</f>
        <v>0</v>
      </c>
    </row>
    <row r="62" spans="1:10" ht="15" hidden="1" customHeight="1">
      <c r="A62" s="498"/>
      <c r="B62" s="757"/>
      <c r="E62" s="756"/>
      <c r="F62" s="756"/>
      <c r="G62" s="737"/>
      <c r="H62" s="415">
        <f>SUM(F62:G62)</f>
        <v>0</v>
      </c>
      <c r="I62" s="415">
        <f>SUM(G62:H62)</f>
        <v>0</v>
      </c>
    </row>
    <row r="63" spans="1:10" ht="11.25" hidden="1" customHeight="1">
      <c r="A63" s="498"/>
      <c r="B63" s="735"/>
      <c r="E63" s="447"/>
      <c r="F63" s="447"/>
      <c r="G63" s="332"/>
      <c r="H63" s="447"/>
      <c r="I63" s="447"/>
    </row>
    <row r="64" spans="1:10" ht="15" hidden="1" customHeight="1">
      <c r="A64" s="498"/>
      <c r="B64" s="740" t="s">
        <v>383</v>
      </c>
      <c r="E64" s="334">
        <f>SUM(E59:E63)</f>
        <v>0</v>
      </c>
      <c r="F64" s="334">
        <f>SUM(F59:F63)</f>
        <v>0</v>
      </c>
      <c r="G64" s="758">
        <f>SUM(G59:G63)</f>
        <v>0</v>
      </c>
      <c r="H64" s="334">
        <f>SUM(H59:H63)</f>
        <v>0</v>
      </c>
      <c r="I64" s="334">
        <f>SUM(I59:I63)</f>
        <v>0</v>
      </c>
      <c r="J64" s="415">
        <f>SUM(F64:G64)</f>
        <v>0</v>
      </c>
    </row>
    <row r="65" spans="1:10" ht="16.5" hidden="1" customHeight="1">
      <c r="A65" s="498"/>
      <c r="B65" s="735"/>
      <c r="I65" s="297"/>
    </row>
    <row r="66" spans="1:10" ht="21.75" hidden="1" customHeight="1">
      <c r="B66" s="735" t="s">
        <v>384</v>
      </c>
      <c r="C66" s="736"/>
      <c r="D66" s="429"/>
      <c r="I66" s="297"/>
    </row>
    <row r="67" spans="1:10" ht="15" hidden="1" customHeight="1">
      <c r="B67" s="385"/>
      <c r="C67" s="739"/>
      <c r="F67" s="415"/>
      <c r="G67" s="737"/>
      <c r="H67" s="415"/>
      <c r="I67" s="415"/>
    </row>
    <row r="68" spans="1:10" ht="15" hidden="1" customHeight="1">
      <c r="C68" s="739"/>
      <c r="E68" s="756"/>
      <c r="F68" s="756"/>
      <c r="G68" s="737"/>
      <c r="H68" s="415">
        <f t="shared" ref="H68:I75" si="2">SUM(F68:G68)</f>
        <v>0</v>
      </c>
      <c r="I68" s="415">
        <f t="shared" si="2"/>
        <v>0</v>
      </c>
    </row>
    <row r="69" spans="1:10" ht="15" hidden="1" customHeight="1">
      <c r="C69" s="739"/>
      <c r="E69" s="756"/>
      <c r="F69" s="756"/>
      <c r="G69" s="737"/>
      <c r="H69" s="415">
        <f t="shared" si="2"/>
        <v>0</v>
      </c>
      <c r="I69" s="415">
        <f t="shared" si="2"/>
        <v>0</v>
      </c>
    </row>
    <row r="70" spans="1:10" ht="15" hidden="1" customHeight="1">
      <c r="E70" s="756"/>
      <c r="F70" s="756"/>
      <c r="G70" s="737"/>
      <c r="H70" s="415">
        <f t="shared" si="2"/>
        <v>0</v>
      </c>
      <c r="I70" s="415">
        <f t="shared" si="2"/>
        <v>0</v>
      </c>
    </row>
    <row r="71" spans="1:10" ht="15" hidden="1" customHeight="1">
      <c r="B71" s="753"/>
      <c r="C71" s="531"/>
      <c r="D71" s="433"/>
      <c r="E71" s="756"/>
      <c r="F71" s="756"/>
      <c r="G71" s="737"/>
      <c r="H71" s="415">
        <f t="shared" si="2"/>
        <v>0</v>
      </c>
      <c r="I71" s="415">
        <f t="shared" si="2"/>
        <v>0</v>
      </c>
    </row>
    <row r="72" spans="1:10" ht="15" hidden="1" customHeight="1">
      <c r="B72" s="320"/>
      <c r="C72" s="531"/>
      <c r="D72" s="455"/>
      <c r="E72" s="756"/>
      <c r="F72" s="756"/>
      <c r="G72" s="737"/>
      <c r="H72" s="415">
        <f t="shared" si="2"/>
        <v>0</v>
      </c>
      <c r="I72" s="415">
        <f t="shared" si="2"/>
        <v>0</v>
      </c>
    </row>
    <row r="73" spans="1:10" ht="30" hidden="1" customHeight="1">
      <c r="B73" s="759"/>
      <c r="C73" s="755"/>
      <c r="D73" s="455"/>
      <c r="E73" s="445"/>
      <c r="F73" s="445"/>
      <c r="G73" s="737"/>
      <c r="H73" s="445">
        <f t="shared" si="2"/>
        <v>0</v>
      </c>
      <c r="I73" s="445">
        <f t="shared" si="2"/>
        <v>0</v>
      </c>
    </row>
    <row r="74" spans="1:10" ht="15" hidden="1" customHeight="1">
      <c r="B74" s="320"/>
      <c r="C74" s="755"/>
      <c r="D74" s="455"/>
      <c r="E74" s="445"/>
      <c r="F74" s="445"/>
      <c r="G74" s="737"/>
      <c r="H74" s="445">
        <f t="shared" si="2"/>
        <v>0</v>
      </c>
      <c r="I74" s="445">
        <f t="shared" si="2"/>
        <v>0</v>
      </c>
    </row>
    <row r="75" spans="1:10" ht="15" hidden="1" customHeight="1">
      <c r="C75" s="531"/>
      <c r="D75" s="455"/>
      <c r="E75" s="445"/>
      <c r="F75" s="445"/>
      <c r="G75" s="737"/>
      <c r="H75" s="445">
        <f t="shared" si="2"/>
        <v>0</v>
      </c>
      <c r="I75" s="445">
        <f t="shared" si="2"/>
        <v>0</v>
      </c>
    </row>
    <row r="76" spans="1:10" ht="10.5" hidden="1" customHeight="1">
      <c r="B76" s="320"/>
      <c r="C76" s="531"/>
      <c r="D76" s="455"/>
      <c r="E76" s="447"/>
      <c r="F76" s="447"/>
      <c r="G76" s="332"/>
      <c r="H76" s="447"/>
      <c r="I76" s="447"/>
    </row>
    <row r="77" spans="1:10" ht="15" hidden="1" customHeight="1">
      <c r="B77" s="760" t="s">
        <v>385</v>
      </c>
      <c r="C77" s="741"/>
      <c r="D77" s="742"/>
      <c r="E77" s="334">
        <f>SUM(E67:E76)</f>
        <v>0</v>
      </c>
      <c r="F77" s="334">
        <f>SUM(F67:F76)</f>
        <v>0</v>
      </c>
      <c r="G77" s="328">
        <f>SUM(G67:G76)</f>
        <v>0</v>
      </c>
      <c r="H77" s="329">
        <f>SUM(H67:H76)</f>
        <v>0</v>
      </c>
      <c r="I77" s="329">
        <f>SUM(I67:I76)</f>
        <v>0</v>
      </c>
      <c r="J77" s="415">
        <f>SUM(F77:G77)</f>
        <v>0</v>
      </c>
    </row>
    <row r="78" spans="1:10" ht="15" hidden="1" customHeight="1">
      <c r="B78" s="734"/>
      <c r="C78" s="755"/>
      <c r="D78" s="434"/>
      <c r="I78" s="297"/>
    </row>
    <row r="79" spans="1:10" ht="15" hidden="1" customHeight="1">
      <c r="B79" s="761" t="s">
        <v>386</v>
      </c>
      <c r="C79" s="755" t="s">
        <v>380</v>
      </c>
      <c r="D79" s="762"/>
      <c r="E79" s="763">
        <f>SUM(E64+E77)</f>
        <v>0</v>
      </c>
      <c r="F79" s="763">
        <f>SUM(F64+F77)</f>
        <v>0</v>
      </c>
      <c r="G79" s="764">
        <f>SUM(G64+G77)</f>
        <v>0</v>
      </c>
      <c r="H79" s="763">
        <f>SUM(F79:G79)</f>
        <v>0</v>
      </c>
      <c r="I79" s="763">
        <f>SUM(I64+I77)</f>
        <v>0</v>
      </c>
      <c r="J79" s="415">
        <f>SUM(F79:G79)</f>
        <v>0</v>
      </c>
    </row>
    <row r="80" spans="1:10" ht="12.75" customHeight="1">
      <c r="B80" s="765"/>
      <c r="C80" s="755"/>
      <c r="D80" s="762"/>
      <c r="E80" s="447"/>
      <c r="F80" s="447"/>
      <c r="G80" s="447"/>
      <c r="H80" s="447"/>
      <c r="I80" s="447"/>
    </row>
    <row r="81" spans="1:10" ht="16.5" customHeight="1">
      <c r="B81" s="734" t="s">
        <v>387</v>
      </c>
      <c r="C81" s="739"/>
      <c r="D81" s="498"/>
      <c r="E81" s="766">
        <f>SUM(E54+E79)</f>
        <v>0</v>
      </c>
      <c r="F81" s="766">
        <f>SUM(F54+F79)</f>
        <v>0</v>
      </c>
      <c r="G81" s="685">
        <f>SUM(G54+G79)</f>
        <v>0</v>
      </c>
      <c r="H81" s="766">
        <f>SUM(H54+H79)</f>
        <v>1106539</v>
      </c>
      <c r="I81" s="766">
        <f>SUM(I54+I79)</f>
        <v>1106539</v>
      </c>
      <c r="J81" s="415">
        <f>SUM(F81:G81)</f>
        <v>0</v>
      </c>
    </row>
    <row r="82" spans="1:10" ht="12" customHeight="1"/>
    <row r="83" spans="1:10" ht="16.5" customHeight="1">
      <c r="A83" s="732" t="s">
        <v>162</v>
      </c>
      <c r="B83" s="767"/>
      <c r="C83" s="768"/>
      <c r="D83" s="732"/>
      <c r="E83" s="769"/>
    </row>
    <row r="84" spans="1:10" ht="9.75" customHeight="1">
      <c r="A84" s="770"/>
      <c r="B84" s="767"/>
      <c r="C84" s="768"/>
      <c r="D84" s="732"/>
      <c r="E84" s="769"/>
    </row>
    <row r="85" spans="1:10" ht="14.1" hidden="1" customHeight="1">
      <c r="A85" s="498"/>
      <c r="B85" s="734" t="s">
        <v>368</v>
      </c>
    </row>
    <row r="86" spans="1:10" ht="14.25" hidden="1" customHeight="1">
      <c r="A86" s="498"/>
      <c r="B86" s="734"/>
    </row>
    <row r="87" spans="1:10" ht="14.25" hidden="1" customHeight="1">
      <c r="A87" s="434"/>
      <c r="B87" s="771"/>
      <c r="F87" s="343"/>
      <c r="H87" s="343"/>
      <c r="I87" s="633"/>
      <c r="J87" s="415"/>
    </row>
    <row r="88" spans="1:10" ht="15.75" hidden="1" customHeight="1">
      <c r="B88" s="735" t="s">
        <v>388</v>
      </c>
      <c r="C88" s="736"/>
      <c r="D88" s="429"/>
      <c r="E88" s="411"/>
      <c r="F88" s="406"/>
    </row>
    <row r="89" spans="1:10" ht="10.5" hidden="1" customHeight="1">
      <c r="B89" s="735"/>
      <c r="C89" s="736"/>
      <c r="D89" s="429"/>
      <c r="E89" s="411"/>
      <c r="F89" s="406"/>
    </row>
    <row r="90" spans="1:10" hidden="1">
      <c r="B90" s="355" t="s">
        <v>178</v>
      </c>
      <c r="C90" s="772"/>
      <c r="D90" s="406"/>
      <c r="E90" s="319"/>
      <c r="F90" s="633"/>
      <c r="G90" s="744"/>
      <c r="H90" s="633"/>
    </row>
    <row r="91" spans="1:10" ht="16.5" hidden="1" customHeight="1">
      <c r="B91" s="361"/>
      <c r="C91" s="773"/>
      <c r="D91" s="406"/>
      <c r="E91" s="319"/>
      <c r="F91" s="415"/>
      <c r="G91" s="737"/>
      <c r="H91" s="415">
        <f>SUM(F91:G91)</f>
        <v>0</v>
      </c>
      <c r="I91" s="415">
        <f>SUM(G91:H91)</f>
        <v>0</v>
      </c>
    </row>
    <row r="92" spans="1:10" hidden="1">
      <c r="B92" s="774"/>
      <c r="C92" s="772"/>
      <c r="D92" s="406"/>
      <c r="E92" s="319"/>
      <c r="F92" s="415"/>
      <c r="G92" s="737"/>
      <c r="H92" s="415">
        <f>SUM(F92:G92)</f>
        <v>0</v>
      </c>
      <c r="I92" s="415">
        <f>SUM(G92:H92)</f>
        <v>0</v>
      </c>
    </row>
    <row r="93" spans="1:10" hidden="1">
      <c r="B93" s="775" t="s">
        <v>228</v>
      </c>
      <c r="C93" s="772"/>
      <c r="D93" s="406"/>
      <c r="E93" s="319"/>
      <c r="F93" s="319"/>
      <c r="G93" s="744"/>
      <c r="H93" s="415"/>
    </row>
    <row r="94" spans="1:10" hidden="1">
      <c r="B94" s="774"/>
      <c r="F94" s="319"/>
      <c r="G94" s="737"/>
      <c r="H94" s="415">
        <f>SUM(F94:G94)</f>
        <v>0</v>
      </c>
      <c r="I94" s="415">
        <f>SUM(G94:H94)</f>
        <v>0</v>
      </c>
    </row>
    <row r="95" spans="1:10" hidden="1">
      <c r="F95" s="406"/>
      <c r="G95" s="737"/>
      <c r="H95" s="415">
        <f>SUM(F95:G95)</f>
        <v>0</v>
      </c>
      <c r="I95" s="415">
        <f>SUM(G95:H95)</f>
        <v>0</v>
      </c>
    </row>
    <row r="96" spans="1:10" ht="17.25" hidden="1" customHeight="1">
      <c r="G96" s="744"/>
    </row>
    <row r="97" spans="2:10" ht="16.5" hidden="1" customHeight="1">
      <c r="B97" s="740" t="s">
        <v>389</v>
      </c>
      <c r="C97" s="741"/>
      <c r="D97" s="742"/>
      <c r="E97" s="334">
        <f>SUM(E90:E95)</f>
        <v>0</v>
      </c>
      <c r="F97" s="334">
        <f>SUM(F90:F95)</f>
        <v>0</v>
      </c>
      <c r="G97" s="328">
        <f>SUM(G90:G95)</f>
        <v>0</v>
      </c>
      <c r="H97" s="334">
        <f>SUM(H90:H95)</f>
        <v>0</v>
      </c>
      <c r="I97" s="334">
        <f>SUM(I90:I95)</f>
        <v>0</v>
      </c>
      <c r="J97" s="415">
        <f>SUM(F97:G97)</f>
        <v>0</v>
      </c>
    </row>
    <row r="98" spans="2:10" ht="14.25" hidden="1" customHeight="1"/>
    <row r="99" spans="2:10" hidden="1">
      <c r="B99" s="735" t="s">
        <v>390</v>
      </c>
      <c r="C99" s="736"/>
      <c r="D99" s="429"/>
      <c r="E99" s="411"/>
    </row>
    <row r="100" spans="2:10" hidden="1">
      <c r="G100" s="737"/>
      <c r="H100" s="297">
        <f t="shared" ref="H100:I106" si="3">SUM(F100:G100)</f>
        <v>0</v>
      </c>
      <c r="I100" s="415">
        <f t="shared" si="3"/>
        <v>0</v>
      </c>
    </row>
    <row r="101" spans="2:10" hidden="1">
      <c r="G101" s="737"/>
      <c r="H101" s="297">
        <f t="shared" si="3"/>
        <v>0</v>
      </c>
      <c r="I101" s="415">
        <f t="shared" si="3"/>
        <v>0</v>
      </c>
    </row>
    <row r="102" spans="2:10" hidden="1">
      <c r="G102" s="737"/>
      <c r="H102" s="297">
        <f t="shared" si="3"/>
        <v>0</v>
      </c>
      <c r="I102" s="415">
        <f t="shared" si="3"/>
        <v>0</v>
      </c>
    </row>
    <row r="103" spans="2:10" hidden="1">
      <c r="G103" s="737"/>
      <c r="H103" s="297">
        <f t="shared" si="3"/>
        <v>0</v>
      </c>
      <c r="I103" s="415">
        <f t="shared" si="3"/>
        <v>0</v>
      </c>
    </row>
    <row r="104" spans="2:10" hidden="1">
      <c r="G104" s="737"/>
      <c r="H104" s="297">
        <f t="shared" si="3"/>
        <v>0</v>
      </c>
      <c r="I104" s="415">
        <f t="shared" si="3"/>
        <v>0</v>
      </c>
    </row>
    <row r="105" spans="2:10" hidden="1">
      <c r="D105" s="776"/>
      <c r="E105" s="389"/>
      <c r="F105" s="415"/>
      <c r="G105" s="737"/>
      <c r="H105" s="415">
        <f t="shared" si="3"/>
        <v>0</v>
      </c>
      <c r="I105" s="415">
        <f t="shared" si="3"/>
        <v>0</v>
      </c>
    </row>
    <row r="106" spans="2:10" hidden="1">
      <c r="D106" s="776"/>
      <c r="E106" s="389"/>
      <c r="F106" s="756"/>
      <c r="G106" s="737"/>
      <c r="H106" s="415">
        <f t="shared" si="3"/>
        <v>0</v>
      </c>
      <c r="I106" s="415">
        <f t="shared" si="3"/>
        <v>0</v>
      </c>
    </row>
    <row r="107" spans="2:10" ht="8.25" hidden="1" customHeight="1">
      <c r="B107" s="747"/>
      <c r="C107" s="741"/>
      <c r="D107" s="748"/>
      <c r="E107" s="777"/>
      <c r="F107" s="447"/>
      <c r="G107" s="744"/>
      <c r="H107" s="447"/>
    </row>
    <row r="108" spans="2:10" ht="16.5" hidden="1" customHeight="1">
      <c r="B108" s="778" t="s">
        <v>391</v>
      </c>
      <c r="C108" s="741"/>
      <c r="D108" s="742"/>
      <c r="E108" s="334">
        <f>SUM(E100:E106)</f>
        <v>0</v>
      </c>
      <c r="F108" s="334">
        <f>SUM(F100:F106)</f>
        <v>0</v>
      </c>
      <c r="G108" s="328">
        <f>SUM(G100:G106)</f>
        <v>0</v>
      </c>
      <c r="H108" s="334">
        <f>SUM(H100:H106)</f>
        <v>0</v>
      </c>
      <c r="I108" s="334">
        <f>SUM(I100:I106)</f>
        <v>0</v>
      </c>
      <c r="J108" s="415">
        <f>SUM(F108:G108)</f>
        <v>0</v>
      </c>
    </row>
    <row r="109" spans="2:10" ht="16.5" hidden="1" customHeight="1">
      <c r="B109" s="778"/>
      <c r="C109" s="741"/>
      <c r="D109" s="742"/>
      <c r="E109" s="374"/>
      <c r="F109" s="343"/>
      <c r="G109" s="332"/>
      <c r="H109" s="343"/>
      <c r="I109" s="633"/>
      <c r="J109" s="415"/>
    </row>
    <row r="110" spans="2:10" ht="15.75" customHeight="1">
      <c r="B110" s="734" t="s">
        <v>376</v>
      </c>
      <c r="C110" s="297"/>
      <c r="D110" s="749"/>
      <c r="E110" s="297"/>
      <c r="I110" s="750"/>
      <c r="J110" s="483"/>
    </row>
    <row r="111" spans="2:10" ht="8.25" customHeight="1">
      <c r="B111" s="751"/>
      <c r="C111" s="297"/>
      <c r="D111" s="749"/>
      <c r="E111" s="297"/>
      <c r="I111" s="750"/>
      <c r="J111" s="483"/>
    </row>
    <row r="112" spans="2:10" ht="13.5" customHeight="1">
      <c r="B112" s="775" t="s">
        <v>190</v>
      </c>
      <c r="C112" s="297"/>
      <c r="D112" s="749"/>
      <c r="E112" s="297"/>
      <c r="I112" s="750"/>
      <c r="J112" s="483"/>
    </row>
    <row r="113" spans="2:10" ht="15.75" customHeight="1">
      <c r="B113" s="779" t="s">
        <v>392</v>
      </c>
      <c r="C113" s="297"/>
      <c r="D113" s="749"/>
      <c r="E113" s="319"/>
      <c r="F113" s="415">
        <v>52237000</v>
      </c>
      <c r="G113" s="737"/>
      <c r="H113" s="415">
        <f>SUM(F113:G113)</f>
        <v>52237000</v>
      </c>
      <c r="I113" s="415">
        <v>52237000</v>
      </c>
      <c r="J113" s="483"/>
    </row>
    <row r="114" spans="2:10" ht="15.75" hidden="1" customHeight="1">
      <c r="B114" s="775" t="s">
        <v>228</v>
      </c>
      <c r="C114" s="297"/>
      <c r="D114" s="749"/>
      <c r="E114" s="319"/>
      <c r="F114" s="415"/>
      <c r="G114" s="744"/>
      <c r="H114" s="633"/>
      <c r="I114" s="750"/>
      <c r="J114" s="483"/>
    </row>
    <row r="115" spans="2:10" ht="15.75" hidden="1" customHeight="1">
      <c r="B115" s="779" t="s">
        <v>392</v>
      </c>
      <c r="C115" s="297"/>
      <c r="D115" s="749"/>
      <c r="E115" s="319"/>
      <c r="F115" s="415"/>
      <c r="G115" s="737"/>
      <c r="H115" s="415">
        <f>SUM(F115:G115)</f>
        <v>0</v>
      </c>
      <c r="I115" s="415"/>
      <c r="J115" s="483"/>
    </row>
    <row r="116" spans="2:10" ht="15.75" hidden="1" customHeight="1">
      <c r="B116" s="775" t="s">
        <v>393</v>
      </c>
      <c r="C116" s="297"/>
      <c r="D116" s="749"/>
      <c r="E116" s="319"/>
      <c r="F116" s="415"/>
      <c r="G116" s="744"/>
      <c r="H116" s="633"/>
      <c r="I116" s="750"/>
      <c r="J116" s="483"/>
    </row>
    <row r="117" spans="2:10" ht="15.75" hidden="1" customHeight="1">
      <c r="B117" s="779" t="s">
        <v>392</v>
      </c>
      <c r="C117" s="297"/>
      <c r="D117" s="749"/>
      <c r="E117" s="319"/>
      <c r="F117" s="415"/>
      <c r="G117" s="737"/>
      <c r="H117" s="415">
        <f>SUM(F117:G117)</f>
        <v>0</v>
      </c>
      <c r="I117" s="415"/>
      <c r="J117" s="483"/>
    </row>
    <row r="118" spans="2:10" ht="15.75" customHeight="1">
      <c r="B118" s="775" t="s">
        <v>394</v>
      </c>
      <c r="C118" s="297"/>
      <c r="D118" s="749"/>
      <c r="E118" s="319"/>
      <c r="F118" s="415"/>
      <c r="G118" s="744"/>
      <c r="H118" s="633"/>
      <c r="I118" s="750"/>
      <c r="J118" s="483"/>
    </row>
    <row r="119" spans="2:10" ht="15.75" customHeight="1">
      <c r="B119" s="779" t="s">
        <v>392</v>
      </c>
      <c r="C119" s="297"/>
      <c r="D119" s="749"/>
      <c r="E119" s="319"/>
      <c r="F119" s="415">
        <v>20876</v>
      </c>
      <c r="G119" s="737"/>
      <c r="H119" s="415">
        <f>SUM(F119:G119)</f>
        <v>20876</v>
      </c>
      <c r="I119" s="415">
        <v>20876</v>
      </c>
      <c r="J119" s="483"/>
    </row>
    <row r="120" spans="2:10" ht="15.75" hidden="1" customHeight="1">
      <c r="B120" s="775" t="s">
        <v>295</v>
      </c>
      <c r="C120" s="297"/>
      <c r="D120" s="749"/>
      <c r="E120" s="319"/>
      <c r="F120" s="415"/>
      <c r="G120" s="744"/>
      <c r="H120" s="633"/>
      <c r="I120" s="750"/>
      <c r="J120" s="483"/>
    </row>
    <row r="121" spans="2:10" ht="15.75" hidden="1" customHeight="1">
      <c r="B121" s="779" t="s">
        <v>392</v>
      </c>
      <c r="C121" s="297"/>
      <c r="D121" s="749"/>
      <c r="E121" s="319"/>
      <c r="F121" s="415"/>
      <c r="G121" s="737"/>
      <c r="H121" s="415">
        <f>SUM(F121:G121)</f>
        <v>0</v>
      </c>
      <c r="I121" s="415">
        <f>SUM(G121:H121)</f>
        <v>0</v>
      </c>
      <c r="J121" s="483"/>
    </row>
    <row r="122" spans="2:10" ht="15.75" hidden="1" customHeight="1">
      <c r="B122" s="775" t="s">
        <v>296</v>
      </c>
      <c r="C122" s="297"/>
      <c r="D122" s="749"/>
      <c r="E122" s="319"/>
      <c r="F122" s="415"/>
      <c r="G122" s="744"/>
      <c r="H122" s="633"/>
      <c r="I122" s="750"/>
      <c r="J122" s="483"/>
    </row>
    <row r="123" spans="2:10" ht="15.75" hidden="1" customHeight="1">
      <c r="B123" s="779" t="s">
        <v>392</v>
      </c>
      <c r="C123" s="297"/>
      <c r="D123" s="749"/>
      <c r="E123" s="319"/>
      <c r="F123" s="415"/>
      <c r="G123" s="737"/>
      <c r="H123" s="415">
        <f>SUM(F123:G123)</f>
        <v>0</v>
      </c>
      <c r="I123" s="415">
        <f>SUM(G123:H123)</f>
        <v>0</v>
      </c>
      <c r="J123" s="483"/>
    </row>
    <row r="124" spans="2:10" ht="15.75" hidden="1" customHeight="1">
      <c r="B124" s="775" t="s">
        <v>395</v>
      </c>
      <c r="C124" s="297"/>
      <c r="D124" s="749"/>
      <c r="E124" s="319"/>
      <c r="F124" s="415"/>
      <c r="G124" s="744"/>
      <c r="H124" s="633"/>
      <c r="I124" s="750"/>
      <c r="J124" s="483"/>
    </row>
    <row r="125" spans="2:10" ht="15.75" hidden="1" customHeight="1">
      <c r="B125" s="779" t="s">
        <v>392</v>
      </c>
      <c r="C125" s="297"/>
      <c r="D125" s="749"/>
      <c r="E125" s="319"/>
      <c r="F125" s="415"/>
      <c r="G125" s="737"/>
      <c r="H125" s="415">
        <f>SUM(F125:G125)</f>
        <v>0</v>
      </c>
      <c r="I125" s="415">
        <f>SUM(G125:H125)</f>
        <v>0</v>
      </c>
      <c r="J125" s="483"/>
    </row>
    <row r="126" spans="2:10" ht="15.75" hidden="1" customHeight="1">
      <c r="B126" s="775" t="s">
        <v>170</v>
      </c>
      <c r="C126" s="297"/>
      <c r="D126" s="749"/>
      <c r="E126" s="319"/>
      <c r="F126" s="415"/>
      <c r="G126" s="744"/>
      <c r="H126" s="633"/>
      <c r="I126" s="750"/>
      <c r="J126" s="483"/>
    </row>
    <row r="127" spans="2:10" ht="15.75" hidden="1" customHeight="1">
      <c r="B127" s="779" t="s">
        <v>392</v>
      </c>
      <c r="C127" s="297"/>
      <c r="D127" s="749"/>
      <c r="E127" s="319"/>
      <c r="F127" s="415"/>
      <c r="G127" s="737"/>
      <c r="H127" s="415">
        <f>SUM(F127:G127)</f>
        <v>0</v>
      </c>
      <c r="I127" s="415">
        <f>SUM(G127:H127)</f>
        <v>0</v>
      </c>
      <c r="J127" s="483"/>
    </row>
    <row r="128" spans="2:10" ht="15.75" hidden="1" customHeight="1">
      <c r="B128" s="775" t="s">
        <v>171</v>
      </c>
      <c r="C128" s="297"/>
      <c r="D128" s="749"/>
      <c r="E128" s="319"/>
      <c r="F128" s="415"/>
      <c r="G128" s="744"/>
      <c r="H128" s="633"/>
      <c r="I128" s="750"/>
      <c r="J128" s="483"/>
    </row>
    <row r="129" spans="2:10" ht="15.75" hidden="1" customHeight="1">
      <c r="B129" s="779" t="s">
        <v>392</v>
      </c>
      <c r="C129" s="297"/>
      <c r="D129" s="749"/>
      <c r="E129" s="319"/>
      <c r="F129" s="415"/>
      <c r="G129" s="737"/>
      <c r="H129" s="415">
        <f>SUM(F129:G129)</f>
        <v>0</v>
      </c>
      <c r="I129" s="415">
        <f>SUM(G129:H129)</f>
        <v>0</v>
      </c>
      <c r="J129" s="483"/>
    </row>
    <row r="130" spans="2:10" ht="15.75" hidden="1" customHeight="1">
      <c r="B130" s="775" t="s">
        <v>172</v>
      </c>
      <c r="C130" s="297"/>
      <c r="D130" s="749"/>
      <c r="E130" s="319"/>
      <c r="F130" s="415"/>
      <c r="G130" s="744"/>
      <c r="H130" s="633"/>
      <c r="I130" s="750"/>
      <c r="J130" s="483"/>
    </row>
    <row r="131" spans="2:10" ht="15.75" hidden="1" customHeight="1">
      <c r="B131" s="779" t="s">
        <v>392</v>
      </c>
      <c r="C131" s="297"/>
      <c r="D131" s="749"/>
      <c r="E131" s="319"/>
      <c r="F131" s="415"/>
      <c r="G131" s="737"/>
      <c r="H131" s="415">
        <f>SUM(F131:G131)</f>
        <v>0</v>
      </c>
      <c r="I131" s="415">
        <f>SUM(G131:H131)</f>
        <v>0</v>
      </c>
      <c r="J131" s="483"/>
    </row>
    <row r="132" spans="2:10" ht="15.75" hidden="1" customHeight="1">
      <c r="B132" s="775" t="s">
        <v>173</v>
      </c>
      <c r="C132" s="297"/>
      <c r="D132" s="749"/>
      <c r="E132" s="319"/>
      <c r="F132" s="415"/>
      <c r="G132" s="744"/>
      <c r="H132" s="633"/>
      <c r="I132" s="750"/>
      <c r="J132" s="483"/>
    </row>
    <row r="133" spans="2:10" ht="15.75" hidden="1" customHeight="1">
      <c r="B133" s="779" t="s">
        <v>392</v>
      </c>
      <c r="C133" s="297"/>
      <c r="D133" s="749"/>
      <c r="E133" s="319"/>
      <c r="F133" s="415"/>
      <c r="G133" s="737"/>
      <c r="H133" s="415">
        <f>SUM(F133:G133)</f>
        <v>0</v>
      </c>
      <c r="I133" s="415">
        <f>SUM(G133:H133)</f>
        <v>0</v>
      </c>
      <c r="J133" s="483"/>
    </row>
    <row r="134" spans="2:10" ht="15.75" hidden="1" customHeight="1">
      <c r="B134" s="775" t="s">
        <v>174</v>
      </c>
      <c r="C134" s="297"/>
      <c r="D134" s="749"/>
      <c r="E134" s="319"/>
      <c r="F134" s="415"/>
      <c r="G134" s="744"/>
      <c r="H134" s="633"/>
      <c r="I134" s="750"/>
      <c r="J134" s="483"/>
    </row>
    <row r="135" spans="2:10" ht="15.75" hidden="1" customHeight="1">
      <c r="B135" s="779" t="s">
        <v>392</v>
      </c>
      <c r="C135" s="297"/>
      <c r="D135" s="749"/>
      <c r="E135" s="319"/>
      <c r="F135" s="415"/>
      <c r="G135" s="737"/>
      <c r="H135" s="415">
        <f>SUM(F135:G135)</f>
        <v>0</v>
      </c>
      <c r="I135" s="415">
        <f>SUM(G135:H135)</f>
        <v>0</v>
      </c>
      <c r="J135" s="483"/>
    </row>
    <row r="136" spans="2:10" ht="15.75" hidden="1" customHeight="1">
      <c r="B136" s="775" t="s">
        <v>175</v>
      </c>
      <c r="C136" s="297"/>
      <c r="D136" s="749"/>
      <c r="E136" s="319"/>
      <c r="F136" s="415"/>
      <c r="G136" s="744"/>
      <c r="H136" s="633"/>
      <c r="I136" s="750"/>
      <c r="J136" s="483"/>
    </row>
    <row r="137" spans="2:10" ht="15.75" hidden="1" customHeight="1">
      <c r="B137" s="779" t="s">
        <v>392</v>
      </c>
      <c r="C137" s="297"/>
      <c r="D137" s="749"/>
      <c r="E137" s="319"/>
      <c r="F137" s="415"/>
      <c r="G137" s="737"/>
      <c r="H137" s="415">
        <f>SUM(F137:G137)</f>
        <v>0</v>
      </c>
      <c r="I137" s="415">
        <f>SUM(G137:H137)</f>
        <v>0</v>
      </c>
      <c r="J137" s="483"/>
    </row>
    <row r="138" spans="2:10" ht="15.75" hidden="1" customHeight="1">
      <c r="B138" s="775" t="s">
        <v>176</v>
      </c>
      <c r="C138" s="297"/>
      <c r="D138" s="749"/>
      <c r="E138" s="319"/>
      <c r="F138" s="415"/>
      <c r="G138" s="744"/>
      <c r="H138" s="633"/>
      <c r="I138" s="750"/>
      <c r="J138" s="483"/>
    </row>
    <row r="139" spans="2:10" ht="15.75" hidden="1" customHeight="1">
      <c r="B139" s="779" t="s">
        <v>392</v>
      </c>
      <c r="C139" s="297"/>
      <c r="D139" s="749"/>
      <c r="E139" s="319"/>
      <c r="F139" s="415"/>
      <c r="G139" s="737"/>
      <c r="H139" s="415">
        <f>SUM(F139:G139)</f>
        <v>0</v>
      </c>
      <c r="I139" s="415">
        <f>SUM(G139:H139)</f>
        <v>0</v>
      </c>
      <c r="J139" s="483"/>
    </row>
    <row r="140" spans="2:10" ht="15.75" customHeight="1">
      <c r="B140" s="751"/>
      <c r="C140" s="297"/>
      <c r="D140" s="749"/>
      <c r="E140" s="297"/>
      <c r="F140" s="415"/>
      <c r="G140" s="744"/>
      <c r="H140" s="633"/>
      <c r="I140" s="750"/>
      <c r="J140" s="483"/>
    </row>
    <row r="141" spans="2:10" ht="15.75" customHeight="1">
      <c r="B141" s="740" t="s">
        <v>378</v>
      </c>
      <c r="C141" s="297"/>
      <c r="D141" s="749"/>
      <c r="E141" s="334">
        <f>SUM(E111:E140)</f>
        <v>0</v>
      </c>
      <c r="F141" s="334">
        <f>SUM(F111:F140)</f>
        <v>52257876</v>
      </c>
      <c r="G141" s="328">
        <f>SUM(G111:G140)</f>
        <v>0</v>
      </c>
      <c r="H141" s="329">
        <f>SUM(H111:H140)</f>
        <v>52257876</v>
      </c>
      <c r="I141" s="329">
        <f>SUM(I111:I140)</f>
        <v>52257876</v>
      </c>
      <c r="J141" s="415">
        <f>SUM(F141:G141)</f>
        <v>52257876</v>
      </c>
    </row>
    <row r="142" spans="2:10" ht="16.5" customHeight="1">
      <c r="B142" s="778"/>
      <c r="C142" s="741"/>
      <c r="D142" s="742"/>
      <c r="E142" s="374"/>
      <c r="F142" s="343"/>
      <c r="G142" s="332"/>
      <c r="H142" s="343"/>
      <c r="I142" s="633"/>
      <c r="J142" s="415"/>
    </row>
    <row r="143" spans="2:10" ht="15.75" hidden="1" customHeight="1">
      <c r="B143" s="778"/>
      <c r="C143" s="741"/>
      <c r="D143" s="742"/>
      <c r="E143" s="374"/>
      <c r="F143" s="343"/>
      <c r="G143" s="332"/>
      <c r="H143" s="343"/>
    </row>
    <row r="144" spans="2:10" ht="16.5" hidden="1" customHeight="1">
      <c r="B144" s="778"/>
      <c r="C144" s="741"/>
      <c r="D144" s="742"/>
      <c r="E144" s="374"/>
      <c r="F144" s="343"/>
      <c r="G144" s="332"/>
      <c r="H144" s="343"/>
      <c r="I144" s="633"/>
      <c r="J144" s="415"/>
    </row>
    <row r="145" spans="1:10" ht="15.75" hidden="1" customHeight="1">
      <c r="B145" s="778"/>
      <c r="C145" s="741"/>
      <c r="D145" s="742"/>
      <c r="E145" s="374"/>
      <c r="F145" s="343"/>
      <c r="G145" s="332"/>
      <c r="H145" s="343"/>
    </row>
    <row r="146" spans="1:10">
      <c r="B146" s="761" t="s">
        <v>396</v>
      </c>
      <c r="C146" s="755" t="s">
        <v>380</v>
      </c>
      <c r="D146" s="762"/>
      <c r="E146" s="763">
        <f>SUM(E97+E108+E141)</f>
        <v>0</v>
      </c>
      <c r="F146" s="763">
        <f>SUM(F97+F108+F141)</f>
        <v>52257876</v>
      </c>
      <c r="G146" s="328">
        <f>SUM(G97+G108+G141)</f>
        <v>0</v>
      </c>
      <c r="H146" s="780">
        <f>SUM(H97+H108+H141)</f>
        <v>52257876</v>
      </c>
      <c r="I146" s="780">
        <f>SUM(I97+I108+I141)</f>
        <v>52257876</v>
      </c>
      <c r="J146" s="415">
        <f>SUM(F146:G146)</f>
        <v>52257876</v>
      </c>
    </row>
    <row r="147" spans="1:10" ht="13.5" customHeight="1">
      <c r="B147" s="765"/>
      <c r="C147" s="755"/>
      <c r="D147" s="762"/>
      <c r="E147" s="781"/>
      <c r="F147" s="447"/>
      <c r="G147" s="332"/>
      <c r="H147" s="447"/>
    </row>
    <row r="148" spans="1:10" hidden="1">
      <c r="B148" s="765"/>
      <c r="C148" s="755"/>
      <c r="D148" s="762"/>
      <c r="E148" s="781"/>
      <c r="F148" s="447"/>
      <c r="G148" s="332"/>
      <c r="H148" s="447"/>
    </row>
    <row r="149" spans="1:10" hidden="1">
      <c r="A149" s="434"/>
      <c r="B149" s="734" t="s">
        <v>397</v>
      </c>
      <c r="G149" s="630"/>
    </row>
    <row r="150" spans="1:10" ht="7.5" hidden="1" customHeight="1">
      <c r="B150" s="734"/>
      <c r="C150" s="755"/>
      <c r="D150" s="434"/>
      <c r="E150" s="447"/>
    </row>
    <row r="151" spans="1:10" ht="12" hidden="1" customHeight="1">
      <c r="B151" s="771"/>
      <c r="C151" s="741"/>
      <c r="D151" s="742"/>
      <c r="E151" s="374"/>
      <c r="F151" s="343"/>
      <c r="G151" s="332"/>
      <c r="H151" s="343"/>
    </row>
    <row r="152" spans="1:10" ht="19.5" hidden="1" customHeight="1">
      <c r="B152" s="740" t="s">
        <v>398</v>
      </c>
      <c r="C152" s="741"/>
      <c r="D152" s="742"/>
      <c r="E152" s="374"/>
      <c r="F152" s="343"/>
      <c r="G152" s="332"/>
      <c r="H152" s="343"/>
    </row>
    <row r="153" spans="1:10" ht="15.75" hidden="1" customHeight="1">
      <c r="B153" s="355" t="s">
        <v>178</v>
      </c>
      <c r="C153" s="741"/>
      <c r="D153" s="742"/>
      <c r="E153" s="374"/>
      <c r="F153" s="411"/>
      <c r="G153" s="404"/>
      <c r="H153" s="411"/>
    </row>
    <row r="154" spans="1:10" ht="13.5" hidden="1" customHeight="1">
      <c r="B154" s="361"/>
      <c r="C154" s="741"/>
      <c r="D154" s="742"/>
      <c r="E154" s="319"/>
      <c r="F154" s="411"/>
      <c r="G154" s="403"/>
      <c r="H154" s="411">
        <f>SUM(F154:G154)</f>
        <v>0</v>
      </c>
      <c r="I154" s="415">
        <f>SUM(G154:H154)</f>
        <v>0</v>
      </c>
    </row>
    <row r="155" spans="1:10" ht="13.5" hidden="1" customHeight="1">
      <c r="B155" s="771"/>
      <c r="C155" s="741"/>
      <c r="D155" s="742"/>
      <c r="E155" s="374"/>
      <c r="F155" s="411"/>
      <c r="G155" s="403"/>
      <c r="H155" s="411">
        <f>SUM(F155:G155)</f>
        <v>0</v>
      </c>
    </row>
    <row r="156" spans="1:10" ht="13.5" hidden="1" customHeight="1">
      <c r="B156" s="771"/>
      <c r="C156" s="741"/>
      <c r="D156" s="742"/>
      <c r="E156" s="374"/>
      <c r="F156" s="411"/>
      <c r="G156" s="404"/>
      <c r="H156" s="411"/>
    </row>
    <row r="157" spans="1:10" ht="18" hidden="1" customHeight="1">
      <c r="B157" s="740" t="s">
        <v>399</v>
      </c>
      <c r="E157" s="495">
        <f>SUM(E153:E156)</f>
        <v>0</v>
      </c>
      <c r="F157" s="495">
        <f>SUM(F153:F156)</f>
        <v>0</v>
      </c>
      <c r="G157" s="328">
        <f>SUM(G153:G156)</f>
        <v>0</v>
      </c>
      <c r="H157" s="782">
        <f>SUM(H153:H156)</f>
        <v>0</v>
      </c>
      <c r="I157" s="782">
        <f>SUM(I153:I156)</f>
        <v>0</v>
      </c>
      <c r="J157" s="415">
        <f>SUM(F157:G157)</f>
        <v>0</v>
      </c>
    </row>
    <row r="158" spans="1:10" ht="11.25" hidden="1" customHeight="1">
      <c r="E158" s="297"/>
      <c r="I158" s="297"/>
    </row>
    <row r="159" spans="1:10" ht="11.25" hidden="1" customHeight="1">
      <c r="B159" s="735"/>
      <c r="E159" s="297"/>
      <c r="I159" s="297"/>
    </row>
    <row r="160" spans="1:10" ht="13.5" hidden="1" customHeight="1">
      <c r="B160" s="735" t="s">
        <v>400</v>
      </c>
      <c r="C160" s="736"/>
      <c r="D160" s="429"/>
      <c r="E160" s="297"/>
      <c r="I160" s="297"/>
    </row>
    <row r="161" spans="1:10" ht="11.25" hidden="1" customHeight="1">
      <c r="E161" s="756"/>
      <c r="F161" s="756"/>
      <c r="G161" s="737"/>
      <c r="H161" s="415">
        <f t="shared" ref="H161:I163" si="4">SUM(F161:G161)</f>
        <v>0</v>
      </c>
      <c r="I161" s="415">
        <f t="shared" si="4"/>
        <v>0</v>
      </c>
    </row>
    <row r="162" spans="1:10" ht="11.25" hidden="1" customHeight="1">
      <c r="E162" s="756"/>
      <c r="F162" s="756"/>
      <c r="G162" s="737"/>
      <c r="H162" s="415">
        <f t="shared" si="4"/>
        <v>0</v>
      </c>
      <c r="I162" s="415">
        <f t="shared" si="4"/>
        <v>0</v>
      </c>
    </row>
    <row r="163" spans="1:10" ht="11.25" hidden="1" customHeight="1">
      <c r="B163" s="747"/>
      <c r="C163" s="741"/>
      <c r="D163" s="748"/>
      <c r="E163" s="447"/>
      <c r="F163" s="447"/>
      <c r="G163" s="744"/>
      <c r="H163" s="447">
        <f t="shared" si="4"/>
        <v>0</v>
      </c>
      <c r="I163" s="447">
        <f t="shared" si="4"/>
        <v>0</v>
      </c>
    </row>
    <row r="164" spans="1:10" ht="14.25" hidden="1" customHeight="1">
      <c r="B164" s="778" t="s">
        <v>385</v>
      </c>
      <c r="C164" s="741"/>
      <c r="D164" s="742"/>
      <c r="E164" s="334">
        <f>SUM(E161:E163)</f>
        <v>0</v>
      </c>
      <c r="F164" s="334">
        <f>SUM(F161:F163)</f>
        <v>0</v>
      </c>
      <c r="G164" s="329">
        <f>SUM(G161:G163)</f>
        <v>0</v>
      </c>
      <c r="H164" s="334">
        <f>SUM(H161:H163)</f>
        <v>0</v>
      </c>
      <c r="I164" s="334">
        <f>SUM(I161:I163)</f>
        <v>0</v>
      </c>
      <c r="J164" s="415">
        <f>SUM(F164:G164)</f>
        <v>0</v>
      </c>
    </row>
    <row r="165" spans="1:10" ht="13.5" hidden="1" customHeight="1">
      <c r="B165" s="734"/>
      <c r="C165" s="755"/>
      <c r="D165" s="434"/>
      <c r="E165" s="297"/>
      <c r="I165" s="297"/>
    </row>
    <row r="166" spans="1:10" ht="18" hidden="1" customHeight="1">
      <c r="B166" s="765" t="s">
        <v>401</v>
      </c>
      <c r="C166" s="755" t="s">
        <v>380</v>
      </c>
      <c r="D166" s="762"/>
      <c r="E166" s="763">
        <f>SUM(E157+E164)</f>
        <v>0</v>
      </c>
      <c r="F166" s="763">
        <f>SUM(F157+F164)</f>
        <v>0</v>
      </c>
      <c r="G166" s="764">
        <f>SUM(G157+G164)</f>
        <v>0</v>
      </c>
      <c r="H166" s="763">
        <f>SUM(F166:G166)</f>
        <v>0</v>
      </c>
      <c r="I166" s="763">
        <f>SUM(G166:H166)</f>
        <v>0</v>
      </c>
      <c r="J166" s="415">
        <f>SUM(F166:G166)</f>
        <v>0</v>
      </c>
    </row>
    <row r="167" spans="1:10" ht="12.75" customHeight="1">
      <c r="B167" s="765"/>
      <c r="C167" s="755"/>
      <c r="D167" s="762"/>
      <c r="E167" s="447"/>
      <c r="F167" s="447"/>
      <c r="G167" s="447"/>
      <c r="H167" s="447"/>
      <c r="I167" s="447"/>
    </row>
    <row r="168" spans="1:10" ht="17.25" customHeight="1">
      <c r="B168" s="775" t="s">
        <v>402</v>
      </c>
      <c r="C168" s="739"/>
      <c r="D168" s="498"/>
      <c r="E168" s="766">
        <f>SUM(E146+E166)</f>
        <v>0</v>
      </c>
      <c r="F168" s="766">
        <f>SUM(F146+F166)</f>
        <v>52257876</v>
      </c>
      <c r="G168" s="685">
        <f>SUM(G146+G166)</f>
        <v>0</v>
      </c>
      <c r="H168" s="334">
        <f>SUM(F168:G168)</f>
        <v>52257876</v>
      </c>
      <c r="I168" s="334">
        <f>SUM(G168:H168)</f>
        <v>52257876</v>
      </c>
      <c r="J168" s="415">
        <f>SUM(F168:G168)</f>
        <v>52257876</v>
      </c>
    </row>
    <row r="169" spans="1:10" ht="17.25" hidden="1" customHeight="1">
      <c r="B169" s="775"/>
      <c r="C169" s="739"/>
      <c r="D169" s="498"/>
      <c r="E169" s="519"/>
      <c r="F169" s="447"/>
      <c r="G169" s="435"/>
      <c r="H169" s="343"/>
      <c r="I169" s="633"/>
      <c r="J169" s="415"/>
    </row>
    <row r="170" spans="1:10" ht="17.25" customHeight="1">
      <c r="B170" s="775"/>
      <c r="C170" s="739"/>
      <c r="D170" s="498"/>
      <c r="E170" s="519"/>
      <c r="F170" s="447"/>
      <c r="G170" s="435"/>
      <c r="H170" s="343"/>
      <c r="I170" s="633"/>
      <c r="J170" s="415"/>
    </row>
    <row r="171" spans="1:10" ht="17.25" customHeight="1">
      <c r="A171" s="732" t="s">
        <v>232</v>
      </c>
      <c r="B171" s="775"/>
      <c r="C171" s="739"/>
      <c r="D171" s="498"/>
      <c r="E171" s="519"/>
      <c r="F171" s="447"/>
      <c r="G171" s="435"/>
      <c r="H171" s="343"/>
      <c r="I171" s="633"/>
      <c r="J171" s="415"/>
    </row>
    <row r="172" spans="1:10" ht="17.25" customHeight="1">
      <c r="A172" s="732"/>
      <c r="B172" s="775"/>
      <c r="C172" s="739"/>
      <c r="D172" s="498"/>
      <c r="E172" s="519"/>
      <c r="F172" s="447"/>
      <c r="G172" s="435"/>
      <c r="H172" s="343"/>
      <c r="I172" s="633"/>
      <c r="J172" s="415"/>
    </row>
    <row r="173" spans="1:10" ht="15" customHeight="1">
      <c r="A173" s="434"/>
      <c r="B173" s="734" t="s">
        <v>403</v>
      </c>
      <c r="F173" s="733"/>
      <c r="G173" s="733"/>
      <c r="H173" s="733"/>
    </row>
    <row r="174" spans="1:10" ht="9.75" customHeight="1">
      <c r="A174" s="434"/>
      <c r="F174" s="733"/>
      <c r="G174" s="733"/>
      <c r="H174" s="733"/>
    </row>
    <row r="175" spans="1:10" ht="15" customHeight="1">
      <c r="B175" s="735" t="s">
        <v>369</v>
      </c>
      <c r="C175" s="736"/>
      <c r="D175" s="429"/>
      <c r="E175" s="411"/>
      <c r="F175" s="406"/>
    </row>
    <row r="176" spans="1:10" ht="9" customHeight="1">
      <c r="B176" s="735"/>
      <c r="C176" s="736"/>
      <c r="D176" s="429"/>
      <c r="E176" s="411"/>
      <c r="F176" s="406"/>
    </row>
    <row r="177" spans="2:9" ht="15" hidden="1" customHeight="1">
      <c r="B177" s="719" t="s">
        <v>404</v>
      </c>
      <c r="C177" s="739"/>
      <c r="F177" s="415"/>
      <c r="G177" s="737"/>
      <c r="H177" s="415"/>
      <c r="I177" s="633"/>
    </row>
    <row r="178" spans="2:9" ht="15" hidden="1" customHeight="1">
      <c r="B178" s="385" t="s">
        <v>405</v>
      </c>
      <c r="C178" s="783"/>
      <c r="F178" s="633"/>
      <c r="G178" s="737"/>
      <c r="H178" s="415"/>
      <c r="I178" s="633"/>
    </row>
    <row r="179" spans="2:9" ht="15" customHeight="1">
      <c r="B179" s="719" t="s">
        <v>406</v>
      </c>
      <c r="E179" s="415">
        <v>15123000</v>
      </c>
      <c r="F179" s="633">
        <v>15123000</v>
      </c>
      <c r="G179" s="737"/>
      <c r="H179" s="415">
        <f>SUM(F179:G179)</f>
        <v>15123000</v>
      </c>
      <c r="I179" s="633">
        <f>7561000+7562000</f>
        <v>15123000</v>
      </c>
    </row>
    <row r="180" spans="2:9" ht="15" customHeight="1">
      <c r="B180" s="719" t="s">
        <v>407</v>
      </c>
      <c r="E180" s="415">
        <v>1000000</v>
      </c>
      <c r="F180" s="633">
        <v>1000000</v>
      </c>
      <c r="G180" s="737"/>
      <c r="H180" s="415">
        <v>1200000</v>
      </c>
      <c r="I180" s="633">
        <f>1000000+200000</f>
        <v>1200000</v>
      </c>
    </row>
    <row r="181" spans="2:9" ht="15" customHeight="1">
      <c r="B181" s="719" t="s">
        <v>408</v>
      </c>
      <c r="E181" s="415">
        <v>10000000</v>
      </c>
      <c r="F181" s="633">
        <v>10000000</v>
      </c>
      <c r="G181" s="737">
        <v>-2558790</v>
      </c>
      <c r="H181" s="415">
        <v>7860072</v>
      </c>
      <c r="I181" s="633">
        <f>20142112-7561000-4721040</f>
        <v>7860072</v>
      </c>
    </row>
    <row r="182" spans="2:9" ht="15" customHeight="1">
      <c r="B182" s="719" t="s">
        <v>408</v>
      </c>
      <c r="C182" s="739" t="s">
        <v>409</v>
      </c>
      <c r="E182" s="415">
        <v>4721000</v>
      </c>
      <c r="F182" s="633">
        <v>4721000</v>
      </c>
      <c r="G182" s="737"/>
      <c r="H182" s="415">
        <f>SUM(F182:G182)</f>
        <v>4721000</v>
      </c>
      <c r="I182" s="633">
        <f>2325760+2395280</f>
        <v>4721040</v>
      </c>
    </row>
    <row r="183" spans="2:9" ht="15" hidden="1" customHeight="1">
      <c r="B183" s="719" t="s">
        <v>410</v>
      </c>
      <c r="C183" s="739" t="s">
        <v>409</v>
      </c>
      <c r="F183" s="633"/>
      <c r="G183" s="737"/>
      <c r="H183" s="415"/>
      <c r="I183" s="633"/>
    </row>
    <row r="184" spans="2:9" ht="15" customHeight="1">
      <c r="B184" s="719" t="s">
        <v>411</v>
      </c>
      <c r="C184" s="739"/>
      <c r="F184" s="633">
        <v>8400000</v>
      </c>
      <c r="G184" s="737"/>
      <c r="H184" s="415">
        <f>SUM(F184:G184)</f>
        <v>8400000</v>
      </c>
      <c r="I184" s="633">
        <f>6515774</f>
        <v>6515774</v>
      </c>
    </row>
    <row r="185" spans="2:9" ht="15" hidden="1" customHeight="1">
      <c r="C185" s="739"/>
      <c r="F185" s="633"/>
      <c r="G185" s="737"/>
      <c r="H185" s="415">
        <f>SUM(F185:G185)</f>
        <v>0</v>
      </c>
      <c r="I185" s="633">
        <v>840145</v>
      </c>
    </row>
    <row r="186" spans="2:9" ht="15" customHeight="1">
      <c r="C186" s="739"/>
      <c r="F186" s="633"/>
      <c r="G186" s="737"/>
      <c r="H186" s="415">
        <f>SUM(F186:G186)</f>
        <v>0</v>
      </c>
      <c r="I186" s="633"/>
    </row>
    <row r="187" spans="2:9" ht="15" customHeight="1">
      <c r="C187" s="739"/>
      <c r="F187" s="633"/>
      <c r="G187" s="737"/>
      <c r="H187" s="415">
        <f>SUM(F187:G187)</f>
        <v>0</v>
      </c>
      <c r="I187" s="633"/>
    </row>
    <row r="188" spans="2:9" ht="16.5" customHeight="1">
      <c r="B188" s="784" t="s">
        <v>412</v>
      </c>
      <c r="C188" s="785">
        <f>SUM(H189:H196)</f>
        <v>4000000</v>
      </c>
      <c r="F188" s="633"/>
      <c r="G188" s="744"/>
      <c r="H188" s="633"/>
    </row>
    <row r="189" spans="2:9" ht="17.25" customHeight="1">
      <c r="B189" s="786" t="s">
        <v>413</v>
      </c>
      <c r="D189" s="630"/>
      <c r="E189" s="633">
        <v>500000</v>
      </c>
      <c r="F189" s="633">
        <v>500000</v>
      </c>
      <c r="G189" s="737"/>
      <c r="H189" s="633">
        <f t="shared" ref="H189:H196" si="5">SUM(F189:G189)</f>
        <v>500000</v>
      </c>
      <c r="I189" s="633">
        <v>400000</v>
      </c>
    </row>
    <row r="190" spans="2:9" ht="15" customHeight="1">
      <c r="B190" s="786" t="s">
        <v>414</v>
      </c>
      <c r="D190" s="630"/>
      <c r="E190" s="415">
        <v>500000</v>
      </c>
      <c r="F190" s="633">
        <v>500000</v>
      </c>
      <c r="G190" s="737"/>
      <c r="H190" s="415">
        <f t="shared" si="5"/>
        <v>500000</v>
      </c>
      <c r="I190" s="633">
        <v>400000</v>
      </c>
    </row>
    <row r="191" spans="2:9" ht="15" customHeight="1">
      <c r="B191" s="786" t="s">
        <v>415</v>
      </c>
      <c r="D191" s="630"/>
      <c r="E191" s="415">
        <v>500000</v>
      </c>
      <c r="F191" s="633">
        <v>500000</v>
      </c>
      <c r="G191" s="737"/>
      <c r="H191" s="415">
        <f t="shared" si="5"/>
        <v>500000</v>
      </c>
      <c r="I191" s="633">
        <v>400000</v>
      </c>
    </row>
    <row r="192" spans="2:9" ht="15" customHeight="1">
      <c r="B192" s="786" t="s">
        <v>416</v>
      </c>
      <c r="E192" s="415">
        <v>500000</v>
      </c>
      <c r="F192" s="633">
        <v>500000</v>
      </c>
      <c r="G192" s="737"/>
      <c r="H192" s="415">
        <f t="shared" si="5"/>
        <v>500000</v>
      </c>
      <c r="I192" s="633">
        <v>400000</v>
      </c>
    </row>
    <row r="193" spans="2:10" ht="15" customHeight="1">
      <c r="B193" s="786" t="s">
        <v>417</v>
      </c>
      <c r="E193" s="415">
        <v>500000</v>
      </c>
      <c r="F193" s="633">
        <v>500000</v>
      </c>
      <c r="G193" s="737"/>
      <c r="H193" s="415">
        <f t="shared" si="5"/>
        <v>500000</v>
      </c>
      <c r="I193" s="633">
        <v>400000</v>
      </c>
    </row>
    <row r="194" spans="2:10" ht="15" customHeight="1">
      <c r="B194" s="786" t="s">
        <v>418</v>
      </c>
      <c r="E194" s="415">
        <v>500000</v>
      </c>
      <c r="F194" s="633">
        <v>500000</v>
      </c>
      <c r="G194" s="737"/>
      <c r="H194" s="415">
        <f t="shared" si="5"/>
        <v>500000</v>
      </c>
      <c r="I194" s="633">
        <v>400000</v>
      </c>
    </row>
    <row r="195" spans="2:10" ht="12.75" customHeight="1">
      <c r="B195" s="786" t="s">
        <v>419</v>
      </c>
      <c r="D195" s="630"/>
      <c r="E195" s="633">
        <v>500000</v>
      </c>
      <c r="F195" s="633">
        <v>500000</v>
      </c>
      <c r="G195" s="737"/>
      <c r="H195" s="633">
        <f t="shared" si="5"/>
        <v>500000</v>
      </c>
      <c r="I195" s="633">
        <v>400000</v>
      </c>
    </row>
    <row r="196" spans="2:10" ht="15" customHeight="1">
      <c r="B196" s="786" t="s">
        <v>420</v>
      </c>
      <c r="E196" s="415">
        <v>500000</v>
      </c>
      <c r="F196" s="633">
        <v>500000</v>
      </c>
      <c r="G196" s="737"/>
      <c r="H196" s="415">
        <f t="shared" si="5"/>
        <v>500000</v>
      </c>
      <c r="I196" s="633">
        <v>400000</v>
      </c>
    </row>
    <row r="197" spans="2:10" ht="9.75" hidden="1" customHeight="1"/>
    <row r="198" spans="2:10" ht="12.75" customHeight="1"/>
    <row r="199" spans="2:10" ht="15" customHeight="1">
      <c r="B199" s="740" t="s">
        <v>373</v>
      </c>
      <c r="C199" s="741"/>
      <c r="D199" s="742"/>
      <c r="E199" s="334">
        <f>SUM(E177:E197)</f>
        <v>34844000</v>
      </c>
      <c r="F199" s="334">
        <f>SUM(F177:F197)</f>
        <v>43244000</v>
      </c>
      <c r="G199" s="328">
        <f>SUM(G177:G197)</f>
        <v>-2558790</v>
      </c>
      <c r="H199" s="329">
        <f>SUM(H177:H197)</f>
        <v>41304072</v>
      </c>
      <c r="I199" s="329">
        <f>SUM(I179:I196)</f>
        <v>39460031</v>
      </c>
      <c r="J199" s="415">
        <f>SUM(F199:G199)</f>
        <v>40685210</v>
      </c>
    </row>
    <row r="200" spans="2:10" ht="9.75" customHeight="1"/>
    <row r="201" spans="2:10" ht="15" customHeight="1">
      <c r="B201" s="735" t="s">
        <v>421</v>
      </c>
      <c r="C201" s="743"/>
      <c r="D201" s="429"/>
      <c r="E201" s="411"/>
      <c r="G201" s="744"/>
    </row>
    <row r="202" spans="2:10" ht="5.25" customHeight="1">
      <c r="B202" s="735"/>
      <c r="C202" s="743"/>
      <c r="D202" s="429"/>
      <c r="E202" s="411"/>
      <c r="F202" s="630"/>
      <c r="G202" s="744"/>
    </row>
    <row r="203" spans="2:10" ht="15" customHeight="1">
      <c r="B203" s="385" t="s">
        <v>422</v>
      </c>
      <c r="C203" s="745"/>
      <c r="D203" s="787"/>
      <c r="E203" s="415">
        <v>15000000</v>
      </c>
      <c r="F203" s="633">
        <v>15000000</v>
      </c>
      <c r="G203" s="737"/>
      <c r="H203" s="633">
        <f>SUM(F203:G203)</f>
        <v>15000000</v>
      </c>
      <c r="I203" s="633">
        <v>15000000</v>
      </c>
    </row>
    <row r="204" spans="2:10" ht="15" customHeight="1">
      <c r="B204" s="385" t="s">
        <v>423</v>
      </c>
      <c r="C204" s="745"/>
      <c r="D204" s="787"/>
      <c r="F204" s="633">
        <v>14725000</v>
      </c>
      <c r="G204" s="737"/>
      <c r="H204" s="633">
        <f>SUM(F204:G204)</f>
        <v>14725000</v>
      </c>
      <c r="I204" s="633">
        <v>14724000</v>
      </c>
    </row>
    <row r="205" spans="2:10" ht="15" customHeight="1">
      <c r="B205" s="385" t="s">
        <v>424</v>
      </c>
      <c r="C205" s="745"/>
      <c r="D205" s="787"/>
      <c r="E205" s="415">
        <v>5900000</v>
      </c>
      <c r="F205" s="633">
        <v>5900000</v>
      </c>
      <c r="G205" s="737"/>
      <c r="H205" s="633">
        <f>SUM(F205:G205)</f>
        <v>5900000</v>
      </c>
      <c r="I205" s="633">
        <v>5900000</v>
      </c>
    </row>
    <row r="206" spans="2:10" ht="15" customHeight="1">
      <c r="B206" s="385" t="s">
        <v>425</v>
      </c>
      <c r="C206" s="745"/>
      <c r="D206" s="787"/>
      <c r="F206" s="633">
        <v>2929128</v>
      </c>
      <c r="G206" s="737">
        <v>734937</v>
      </c>
      <c r="H206" s="633">
        <v>8905937</v>
      </c>
      <c r="I206" s="633">
        <f>18664065-15000000+5241872</f>
        <v>8905937</v>
      </c>
    </row>
    <row r="207" spans="2:10" ht="15" customHeight="1">
      <c r="B207" s="385" t="s">
        <v>426</v>
      </c>
      <c r="C207" s="745"/>
      <c r="D207" s="787"/>
      <c r="F207" s="633">
        <v>2049720</v>
      </c>
      <c r="G207" s="737">
        <v>682719</v>
      </c>
      <c r="H207" s="633">
        <v>6113518</v>
      </c>
      <c r="I207" s="633">
        <f>2732439+3381079</f>
        <v>6113518</v>
      </c>
    </row>
    <row r="208" spans="2:10" ht="15" hidden="1" customHeight="1">
      <c r="B208" s="385" t="s">
        <v>427</v>
      </c>
      <c r="C208" s="745"/>
      <c r="D208" s="787"/>
      <c r="E208" s="415">
        <v>2500000</v>
      </c>
      <c r="F208" s="633">
        <v>2500000</v>
      </c>
      <c r="G208" s="737"/>
      <c r="H208" s="633">
        <v>0</v>
      </c>
      <c r="I208" s="633"/>
    </row>
    <row r="209" spans="2:9" ht="15" customHeight="1">
      <c r="B209" s="385"/>
      <c r="C209" s="745"/>
      <c r="D209" s="787"/>
      <c r="F209" s="633"/>
      <c r="G209" s="737"/>
      <c r="H209" s="633"/>
      <c r="I209" s="633"/>
    </row>
    <row r="210" spans="2:9" ht="15" customHeight="1">
      <c r="B210" s="788" t="s">
        <v>428</v>
      </c>
      <c r="C210" s="745"/>
      <c r="D210" s="787"/>
      <c r="F210" s="633"/>
      <c r="G210" s="737"/>
      <c r="H210" s="633"/>
      <c r="I210" s="633"/>
    </row>
    <row r="211" spans="2:9" ht="15" customHeight="1">
      <c r="B211" s="385" t="s">
        <v>427</v>
      </c>
      <c r="C211" s="739" t="s">
        <v>409</v>
      </c>
      <c r="F211" s="633"/>
      <c r="G211" s="737"/>
      <c r="H211" s="633">
        <v>2500000</v>
      </c>
      <c r="I211" s="633"/>
    </row>
    <row r="212" spans="2:9" ht="15" customHeight="1">
      <c r="B212" s="385" t="s">
        <v>429</v>
      </c>
      <c r="C212" s="739"/>
      <c r="F212" s="633"/>
      <c r="G212" s="737"/>
      <c r="H212" s="633">
        <v>1190000</v>
      </c>
      <c r="I212" s="633">
        <v>1190000</v>
      </c>
    </row>
    <row r="213" spans="2:9" ht="15" hidden="1" customHeight="1">
      <c r="B213" s="385" t="s">
        <v>430</v>
      </c>
      <c r="C213" s="745"/>
      <c r="D213" s="787"/>
      <c r="E213" s="432">
        <v>10000000</v>
      </c>
      <c r="F213" s="633">
        <v>10000000</v>
      </c>
      <c r="G213" s="737"/>
      <c r="H213" s="415">
        <v>0</v>
      </c>
      <c r="I213" s="633">
        <v>-40145</v>
      </c>
    </row>
    <row r="214" spans="2:9" ht="15" customHeight="1">
      <c r="B214" s="385"/>
      <c r="C214" s="745"/>
      <c r="D214" s="787"/>
      <c r="E214" s="432"/>
      <c r="F214" s="633"/>
      <c r="G214" s="737"/>
      <c r="H214" s="415"/>
      <c r="I214" s="633"/>
    </row>
    <row r="215" spans="2:9" ht="15" customHeight="1">
      <c r="B215" s="788" t="s">
        <v>431</v>
      </c>
      <c r="C215" s="745"/>
      <c r="D215" s="787"/>
      <c r="E215" s="432"/>
      <c r="F215" s="633"/>
      <c r="G215" s="737"/>
      <c r="H215" s="415"/>
      <c r="I215" s="633"/>
    </row>
    <row r="216" spans="2:9" ht="15" customHeight="1">
      <c r="B216" s="385" t="s">
        <v>432</v>
      </c>
      <c r="C216" s="739"/>
      <c r="F216" s="633">
        <v>100000</v>
      </c>
      <c r="G216" s="737"/>
      <c r="H216" s="415">
        <v>100000</v>
      </c>
      <c r="I216" s="633">
        <v>100000</v>
      </c>
    </row>
    <row r="217" spans="2:9" ht="15" customHeight="1">
      <c r="B217" s="789" t="s">
        <v>433</v>
      </c>
      <c r="C217" s="739"/>
      <c r="F217" s="633"/>
      <c r="G217" s="737"/>
      <c r="H217" s="415">
        <v>100000</v>
      </c>
      <c r="I217" s="633">
        <f>100000-100000</f>
        <v>0</v>
      </c>
    </row>
    <row r="218" spans="2:9" ht="15" customHeight="1">
      <c r="B218" s="789" t="s">
        <v>434</v>
      </c>
      <c r="C218" s="739"/>
      <c r="F218" s="633"/>
      <c r="G218" s="737"/>
      <c r="H218" s="415">
        <v>8000000</v>
      </c>
      <c r="I218" s="633">
        <f>4000000+4000000</f>
        <v>8000000</v>
      </c>
    </row>
    <row r="219" spans="2:9" ht="15" customHeight="1">
      <c r="B219" s="789" t="s">
        <v>435</v>
      </c>
      <c r="C219" s="739"/>
      <c r="F219" s="633"/>
      <c r="G219" s="737"/>
      <c r="H219" s="415">
        <v>127000</v>
      </c>
      <c r="I219" s="633">
        <v>127000</v>
      </c>
    </row>
    <row r="220" spans="2:9" ht="15" customHeight="1">
      <c r="B220" s="789" t="s">
        <v>436</v>
      </c>
      <c r="C220" s="739"/>
      <c r="F220" s="633"/>
      <c r="G220" s="737"/>
      <c r="H220" s="415">
        <v>1000000</v>
      </c>
      <c r="I220" s="633">
        <f>200000+800000</f>
        <v>1000000</v>
      </c>
    </row>
    <row r="221" spans="2:9" ht="13.5" customHeight="1">
      <c r="B221" s="385"/>
      <c r="C221" s="739"/>
      <c r="F221" s="633"/>
      <c r="G221" s="744"/>
      <c r="H221" s="415"/>
      <c r="I221" s="633"/>
    </row>
    <row r="222" spans="2:9" ht="13.5" customHeight="1">
      <c r="B222" s="775" t="s">
        <v>437</v>
      </c>
      <c r="C222" s="790">
        <f>SUM(H223:H258)</f>
        <v>35182000</v>
      </c>
      <c r="F222" s="744"/>
      <c r="G222" s="744"/>
      <c r="H222" s="415"/>
      <c r="I222" s="633"/>
    </row>
    <row r="223" spans="2:9" ht="13.5" hidden="1" customHeight="1">
      <c r="B223" s="791" t="s">
        <v>438</v>
      </c>
      <c r="C223" s="745"/>
      <c r="F223" s="633"/>
      <c r="G223" s="737"/>
      <c r="H223" s="415">
        <f t="shared" ref="H223:H233" si="6">SUM(F223:G223)</f>
        <v>0</v>
      </c>
      <c r="I223" s="633"/>
    </row>
    <row r="224" spans="2:9" ht="13.5" hidden="1" customHeight="1">
      <c r="B224" s="791" t="s">
        <v>439</v>
      </c>
      <c r="C224" s="745"/>
      <c r="F224" s="633"/>
      <c r="G224" s="737"/>
      <c r="H224" s="415">
        <f t="shared" si="6"/>
        <v>0</v>
      </c>
      <c r="I224" s="633"/>
    </row>
    <row r="225" spans="2:9" ht="13.5" customHeight="1">
      <c r="B225" s="791" t="s">
        <v>440</v>
      </c>
      <c r="C225" s="745"/>
      <c r="E225" s="415">
        <v>494000</v>
      </c>
      <c r="F225" s="633">
        <v>494000</v>
      </c>
      <c r="G225" s="737"/>
      <c r="H225" s="415">
        <f t="shared" si="6"/>
        <v>494000</v>
      </c>
      <c r="I225" s="633">
        <v>494000</v>
      </c>
    </row>
    <row r="226" spans="2:9" ht="15" customHeight="1">
      <c r="B226" s="791" t="s">
        <v>441</v>
      </c>
      <c r="C226" s="745"/>
      <c r="F226" s="633">
        <v>0</v>
      </c>
      <c r="G226" s="737">
        <v>600000</v>
      </c>
      <c r="H226" s="415">
        <f t="shared" si="6"/>
        <v>600000</v>
      </c>
      <c r="I226" s="633">
        <v>600000</v>
      </c>
    </row>
    <row r="227" spans="2:9" ht="15" hidden="1" customHeight="1">
      <c r="B227" s="791" t="s">
        <v>442</v>
      </c>
      <c r="C227" s="745"/>
      <c r="F227" s="633"/>
      <c r="G227" s="737"/>
      <c r="H227" s="415">
        <f t="shared" si="6"/>
        <v>0</v>
      </c>
      <c r="I227" s="633"/>
    </row>
    <row r="228" spans="2:9" ht="15" customHeight="1">
      <c r="B228" s="791" t="s">
        <v>443</v>
      </c>
      <c r="C228" s="745"/>
      <c r="F228" s="633">
        <v>0</v>
      </c>
      <c r="G228" s="737">
        <v>500000</v>
      </c>
      <c r="H228" s="415">
        <f t="shared" si="6"/>
        <v>500000</v>
      </c>
      <c r="I228" s="633">
        <v>500000</v>
      </c>
    </row>
    <row r="229" spans="2:9" ht="15" hidden="1" customHeight="1">
      <c r="B229" s="791" t="s">
        <v>444</v>
      </c>
      <c r="C229" s="745"/>
      <c r="F229" s="633"/>
      <c r="G229" s="737"/>
      <c r="H229" s="415">
        <f t="shared" si="6"/>
        <v>0</v>
      </c>
      <c r="I229" s="633"/>
    </row>
    <row r="230" spans="2:9" ht="15" customHeight="1">
      <c r="B230" s="791" t="s">
        <v>445</v>
      </c>
      <c r="C230" s="745"/>
      <c r="E230" s="415">
        <v>571000</v>
      </c>
      <c r="F230" s="633">
        <v>571000</v>
      </c>
      <c r="G230" s="737">
        <v>400000</v>
      </c>
      <c r="H230" s="415">
        <f t="shared" si="6"/>
        <v>971000</v>
      </c>
      <c r="I230" s="633">
        <f>571000+400000</f>
        <v>971000</v>
      </c>
    </row>
    <row r="231" spans="2:9" ht="15" customHeight="1">
      <c r="B231" s="791" t="s">
        <v>446</v>
      </c>
      <c r="C231" s="745"/>
      <c r="F231" s="633">
        <v>0</v>
      </c>
      <c r="G231" s="737">
        <v>600000</v>
      </c>
      <c r="H231" s="415">
        <f t="shared" si="6"/>
        <v>600000</v>
      </c>
      <c r="I231" s="633">
        <v>600000</v>
      </c>
    </row>
    <row r="232" spans="2:9" ht="15" customHeight="1">
      <c r="B232" s="791" t="s">
        <v>447</v>
      </c>
      <c r="C232" s="745"/>
      <c r="F232" s="633">
        <v>0</v>
      </c>
      <c r="G232" s="737">
        <v>280000</v>
      </c>
      <c r="H232" s="415">
        <f t="shared" si="6"/>
        <v>280000</v>
      </c>
      <c r="I232" s="633">
        <v>280000</v>
      </c>
    </row>
    <row r="233" spans="2:9" ht="15" customHeight="1">
      <c r="B233" s="791" t="s">
        <v>448</v>
      </c>
      <c r="C233" s="745"/>
      <c r="E233" s="415">
        <v>4818000</v>
      </c>
      <c r="F233" s="633">
        <v>4818000</v>
      </c>
      <c r="G233" s="737"/>
      <c r="H233" s="415">
        <f t="shared" si="6"/>
        <v>4818000</v>
      </c>
      <c r="I233" s="633">
        <v>4818000</v>
      </c>
    </row>
    <row r="234" spans="2:9" ht="15" hidden="1" customHeight="1">
      <c r="B234" s="791" t="s">
        <v>449</v>
      </c>
      <c r="C234" s="745"/>
      <c r="F234" s="633"/>
      <c r="G234" s="737"/>
      <c r="H234" s="415"/>
      <c r="I234" s="633"/>
    </row>
    <row r="235" spans="2:9" ht="15" customHeight="1">
      <c r="B235" s="791" t="s">
        <v>450</v>
      </c>
      <c r="C235" s="745"/>
      <c r="F235" s="633">
        <v>0</v>
      </c>
      <c r="G235" s="737">
        <v>200000</v>
      </c>
      <c r="H235" s="415">
        <f t="shared" ref="H235:H258" si="7">SUM(F235:G235)</f>
        <v>200000</v>
      </c>
      <c r="I235" s="633">
        <v>200000</v>
      </c>
    </row>
    <row r="236" spans="2:9" ht="15" customHeight="1">
      <c r="B236" s="791" t="s">
        <v>451</v>
      </c>
      <c r="C236" s="792"/>
      <c r="E236" s="415">
        <v>1500000</v>
      </c>
      <c r="F236" s="633">
        <v>1500000</v>
      </c>
      <c r="G236" s="737"/>
      <c r="H236" s="415">
        <f t="shared" si="7"/>
        <v>1500000</v>
      </c>
      <c r="I236" s="633">
        <v>1500000</v>
      </c>
    </row>
    <row r="237" spans="2:9" ht="15" customHeight="1">
      <c r="B237" s="791" t="s">
        <v>452</v>
      </c>
      <c r="C237" s="745"/>
      <c r="F237" s="633">
        <v>0</v>
      </c>
      <c r="G237" s="737">
        <v>200000</v>
      </c>
      <c r="H237" s="415">
        <f t="shared" si="7"/>
        <v>200000</v>
      </c>
      <c r="I237" s="633">
        <v>200000</v>
      </c>
    </row>
    <row r="238" spans="2:9" ht="15" customHeight="1">
      <c r="B238" s="791" t="s">
        <v>453</v>
      </c>
      <c r="C238" s="745"/>
      <c r="F238" s="633">
        <v>0</v>
      </c>
      <c r="G238" s="737">
        <v>200000</v>
      </c>
      <c r="H238" s="415">
        <f t="shared" si="7"/>
        <v>200000</v>
      </c>
      <c r="I238" s="633">
        <v>200000</v>
      </c>
    </row>
    <row r="239" spans="2:9" ht="15" customHeight="1">
      <c r="B239" s="791" t="s">
        <v>454</v>
      </c>
      <c r="C239" s="745"/>
      <c r="F239" s="633">
        <v>0</v>
      </c>
      <c r="G239" s="737">
        <v>300000</v>
      </c>
      <c r="H239" s="415">
        <f t="shared" si="7"/>
        <v>300000</v>
      </c>
      <c r="I239" s="633">
        <v>300000</v>
      </c>
    </row>
    <row r="240" spans="2:9" ht="15" hidden="1" customHeight="1">
      <c r="B240" s="791" t="s">
        <v>455</v>
      </c>
      <c r="C240" s="745"/>
      <c r="F240" s="633"/>
      <c r="G240" s="737"/>
      <c r="H240" s="415">
        <f t="shared" si="7"/>
        <v>0</v>
      </c>
      <c r="I240" s="633"/>
    </row>
    <row r="241" spans="2:9" ht="15" hidden="1" customHeight="1">
      <c r="B241" s="791" t="s">
        <v>456</v>
      </c>
      <c r="C241" s="792"/>
      <c r="F241" s="633"/>
      <c r="G241" s="737"/>
      <c r="H241" s="415">
        <f t="shared" si="7"/>
        <v>0</v>
      </c>
      <c r="I241" s="633"/>
    </row>
    <row r="242" spans="2:9" ht="12.75" hidden="1" customHeight="1">
      <c r="B242" s="791" t="s">
        <v>457</v>
      </c>
      <c r="C242" s="792"/>
      <c r="F242" s="633"/>
      <c r="G242" s="737"/>
      <c r="H242" s="415">
        <f t="shared" si="7"/>
        <v>0</v>
      </c>
      <c r="I242" s="633"/>
    </row>
    <row r="243" spans="2:9" ht="12.75" hidden="1" customHeight="1">
      <c r="B243" s="791" t="s">
        <v>458</v>
      </c>
      <c r="C243" s="745"/>
      <c r="F243" s="633"/>
      <c r="G243" s="737"/>
      <c r="H243" s="415">
        <f t="shared" si="7"/>
        <v>0</v>
      </c>
      <c r="I243" s="633"/>
    </row>
    <row r="244" spans="2:9" ht="12.75" hidden="1" customHeight="1">
      <c r="B244" s="791" t="s">
        <v>459</v>
      </c>
      <c r="C244" s="745"/>
      <c r="F244" s="633"/>
      <c r="G244" s="737"/>
      <c r="H244" s="415">
        <f t="shared" si="7"/>
        <v>0</v>
      </c>
      <c r="I244" s="633"/>
    </row>
    <row r="245" spans="2:9" ht="14.25" customHeight="1">
      <c r="B245" s="791" t="s">
        <v>460</v>
      </c>
      <c r="C245" s="792"/>
      <c r="E245" s="415">
        <v>4000000</v>
      </c>
      <c r="F245" s="633">
        <v>4000000</v>
      </c>
      <c r="G245" s="737"/>
      <c r="H245" s="415">
        <f t="shared" si="7"/>
        <v>4000000</v>
      </c>
      <c r="I245" s="633">
        <v>4000000</v>
      </c>
    </row>
    <row r="246" spans="2:9" ht="15" hidden="1" customHeight="1">
      <c r="B246" s="791" t="s">
        <v>461</v>
      </c>
      <c r="C246" s="792"/>
      <c r="F246" s="633"/>
      <c r="G246" s="737"/>
      <c r="H246" s="415">
        <f t="shared" si="7"/>
        <v>0</v>
      </c>
      <c r="I246" s="633"/>
    </row>
    <row r="247" spans="2:9" ht="15" hidden="1" customHeight="1">
      <c r="B247" s="791" t="s">
        <v>462</v>
      </c>
      <c r="C247" s="745"/>
      <c r="F247" s="633"/>
      <c r="G247" s="737"/>
      <c r="H247" s="415">
        <f t="shared" si="7"/>
        <v>0</v>
      </c>
      <c r="I247" s="633"/>
    </row>
    <row r="248" spans="2:9" ht="15" hidden="1" customHeight="1">
      <c r="B248" s="791" t="s">
        <v>463</v>
      </c>
      <c r="C248" s="745"/>
      <c r="F248" s="633"/>
      <c r="G248" s="737"/>
      <c r="H248" s="415">
        <f t="shared" si="7"/>
        <v>0</v>
      </c>
      <c r="I248" s="633"/>
    </row>
    <row r="249" spans="2:9" ht="15" hidden="1" customHeight="1">
      <c r="B249" s="791" t="s">
        <v>464</v>
      </c>
      <c r="C249" s="745"/>
      <c r="F249" s="633"/>
      <c r="G249" s="737"/>
      <c r="H249" s="415">
        <f t="shared" si="7"/>
        <v>0</v>
      </c>
      <c r="I249" s="633"/>
    </row>
    <row r="250" spans="2:9" ht="15" customHeight="1">
      <c r="B250" s="791" t="s">
        <v>465</v>
      </c>
      <c r="C250" s="745"/>
      <c r="E250" s="415">
        <v>405000</v>
      </c>
      <c r="F250" s="633">
        <v>405000</v>
      </c>
      <c r="G250" s="737"/>
      <c r="H250" s="415">
        <f t="shared" si="7"/>
        <v>405000</v>
      </c>
      <c r="I250" s="633">
        <v>405000</v>
      </c>
    </row>
    <row r="251" spans="2:9" ht="15" hidden="1" customHeight="1">
      <c r="B251" s="791" t="s">
        <v>466</v>
      </c>
      <c r="C251" s="745"/>
      <c r="F251" s="633">
        <v>0</v>
      </c>
      <c r="G251" s="737"/>
      <c r="H251" s="415">
        <f t="shared" si="7"/>
        <v>0</v>
      </c>
      <c r="I251" s="633"/>
    </row>
    <row r="252" spans="2:9" ht="16.5" customHeight="1">
      <c r="B252" s="791" t="s">
        <v>467</v>
      </c>
      <c r="C252" s="745"/>
      <c r="E252" s="415">
        <v>214000</v>
      </c>
      <c r="F252" s="633">
        <v>214000</v>
      </c>
      <c r="G252" s="737">
        <v>500000</v>
      </c>
      <c r="H252" s="415">
        <f t="shared" si="7"/>
        <v>714000</v>
      </c>
      <c r="I252" s="633">
        <f>214000+200000+300000</f>
        <v>714000</v>
      </c>
    </row>
    <row r="253" spans="2:9" ht="13.5" customHeight="1">
      <c r="B253" s="791" t="s">
        <v>468</v>
      </c>
      <c r="C253" s="745"/>
      <c r="F253" s="633">
        <v>0</v>
      </c>
      <c r="G253" s="737">
        <v>500000</v>
      </c>
      <c r="H253" s="415">
        <f t="shared" si="7"/>
        <v>500000</v>
      </c>
      <c r="I253" s="633">
        <v>500000</v>
      </c>
    </row>
    <row r="254" spans="2:9" ht="15" hidden="1" customHeight="1">
      <c r="B254" s="791" t="s">
        <v>469</v>
      </c>
      <c r="C254" s="745"/>
      <c r="F254" s="633"/>
      <c r="G254" s="737"/>
      <c r="H254" s="415">
        <f t="shared" si="7"/>
        <v>0</v>
      </c>
      <c r="I254" s="633"/>
    </row>
    <row r="255" spans="2:9" ht="15.75" customHeight="1">
      <c r="B255" s="791" t="s">
        <v>470</v>
      </c>
      <c r="C255" s="745"/>
      <c r="F255" s="633">
        <v>0</v>
      </c>
      <c r="G255" s="737">
        <v>150000</v>
      </c>
      <c r="H255" s="415">
        <f t="shared" si="7"/>
        <v>150000</v>
      </c>
      <c r="I255" s="633">
        <v>150000</v>
      </c>
    </row>
    <row r="256" spans="2:9" ht="15" customHeight="1">
      <c r="B256" s="791" t="s">
        <v>471</v>
      </c>
      <c r="C256" s="792"/>
      <c r="E256" s="415">
        <v>18000000</v>
      </c>
      <c r="F256" s="633">
        <v>18000000</v>
      </c>
      <c r="G256" s="737"/>
      <c r="H256" s="415">
        <f t="shared" si="7"/>
        <v>18000000</v>
      </c>
      <c r="I256" s="633">
        <f>9000000+9000000</f>
        <v>18000000</v>
      </c>
    </row>
    <row r="257" spans="2:10" ht="14.25" customHeight="1">
      <c r="B257" s="791" t="s">
        <v>472</v>
      </c>
      <c r="C257" s="745"/>
      <c r="F257" s="633"/>
      <c r="G257" s="737">
        <v>150000</v>
      </c>
      <c r="H257" s="415">
        <f t="shared" si="7"/>
        <v>150000</v>
      </c>
      <c r="I257" s="633">
        <v>150000</v>
      </c>
    </row>
    <row r="258" spans="2:10" ht="14.25" customHeight="1">
      <c r="B258" s="793" t="s">
        <v>473</v>
      </c>
      <c r="C258" s="745"/>
      <c r="F258" s="633"/>
      <c r="G258" s="737">
        <v>600000</v>
      </c>
      <c r="H258" s="415">
        <f t="shared" si="7"/>
        <v>600000</v>
      </c>
      <c r="I258" s="633">
        <v>600000</v>
      </c>
    </row>
    <row r="259" spans="2:10" ht="7.5" customHeight="1">
      <c r="B259" s="793"/>
      <c r="C259" s="745"/>
      <c r="F259" s="633"/>
      <c r="G259" s="744"/>
      <c r="H259" s="415"/>
      <c r="I259" s="633"/>
    </row>
    <row r="260" spans="2:10" ht="15" customHeight="1">
      <c r="B260" s="775" t="s">
        <v>474</v>
      </c>
      <c r="C260" s="790"/>
      <c r="F260" s="633"/>
      <c r="G260" s="744"/>
      <c r="H260" s="415"/>
    </row>
    <row r="261" spans="2:10" ht="13.5" customHeight="1">
      <c r="B261" s="791" t="s">
        <v>475</v>
      </c>
      <c r="C261" s="745"/>
      <c r="D261" s="794"/>
      <c r="E261" s="415">
        <v>10650000</v>
      </c>
      <c r="F261" s="633">
        <v>10650000</v>
      </c>
      <c r="G261" s="737"/>
      <c r="H261" s="415">
        <f>SUM(F261:G261)</f>
        <v>10650000</v>
      </c>
      <c r="I261" s="633">
        <v>10650000</v>
      </c>
      <c r="J261" s="630"/>
    </row>
    <row r="262" spans="2:10" ht="13.5" customHeight="1">
      <c r="B262" s="791" t="s">
        <v>476</v>
      </c>
      <c r="C262" s="745"/>
      <c r="D262" s="787"/>
      <c r="E262" s="415">
        <v>3500000</v>
      </c>
      <c r="F262" s="633">
        <v>3500000</v>
      </c>
      <c r="G262" s="737"/>
      <c r="H262" s="415">
        <f>SUM(F262:G262)</f>
        <v>3500000</v>
      </c>
      <c r="I262" s="633">
        <f>160062+3339938</f>
        <v>3500000</v>
      </c>
      <c r="J262" s="630"/>
    </row>
    <row r="263" spans="2:10" ht="13.5" customHeight="1">
      <c r="B263" s="791" t="s">
        <v>477</v>
      </c>
      <c r="C263" s="745"/>
      <c r="D263" s="787"/>
      <c r="E263" s="633">
        <v>8000000</v>
      </c>
      <c r="F263" s="633">
        <v>8000000</v>
      </c>
      <c r="G263" s="737">
        <v>3000000</v>
      </c>
      <c r="H263" s="415">
        <f>SUM(F263:G263)</f>
        <v>11000000</v>
      </c>
      <c r="I263" s="633">
        <f>8000000+3000000</f>
        <v>11000000</v>
      </c>
    </row>
    <row r="264" spans="2:10" ht="13.5" customHeight="1">
      <c r="B264" s="774" t="s">
        <v>478</v>
      </c>
      <c r="C264" s="785"/>
      <c r="E264" s="415">
        <v>4881000</v>
      </c>
      <c r="F264" s="633">
        <v>4881000</v>
      </c>
      <c r="G264" s="737">
        <v>168000</v>
      </c>
      <c r="H264" s="415">
        <v>5249000</v>
      </c>
      <c r="I264" s="633">
        <f>4461000+300000+288000+200000</f>
        <v>5249000</v>
      </c>
      <c r="J264" s="415"/>
    </row>
    <row r="265" spans="2:10" ht="13.5" customHeight="1">
      <c r="B265" s="791" t="s">
        <v>479</v>
      </c>
      <c r="C265" s="745"/>
      <c r="D265" s="787"/>
      <c r="E265" s="415">
        <v>4650000</v>
      </c>
      <c r="F265" s="633">
        <v>4650000</v>
      </c>
      <c r="G265" s="737">
        <v>-130000</v>
      </c>
      <c r="H265" s="415">
        <f>SUM(F265:G265)</f>
        <v>4520000</v>
      </c>
      <c r="I265" s="633">
        <f>4000000+520000</f>
        <v>4520000</v>
      </c>
    </row>
    <row r="266" spans="2:10" ht="13.5" customHeight="1">
      <c r="B266" s="791" t="s">
        <v>480</v>
      </c>
      <c r="C266" s="745"/>
      <c r="D266" s="787"/>
      <c r="E266" s="415">
        <v>2450000</v>
      </c>
      <c r="F266" s="633">
        <v>2450000</v>
      </c>
      <c r="G266" s="737">
        <f>1032500-250000</f>
        <v>782500</v>
      </c>
      <c r="H266" s="415">
        <f>SUM(F266:G266)</f>
        <v>3232500</v>
      </c>
      <c r="I266" s="633">
        <f>2200000+559500+473000</f>
        <v>3232500</v>
      </c>
    </row>
    <row r="267" spans="2:10" ht="13.5" customHeight="1">
      <c r="B267" s="791" t="s">
        <v>481</v>
      </c>
      <c r="C267" s="745"/>
      <c r="D267" s="787"/>
      <c r="E267" s="415">
        <v>4000000</v>
      </c>
      <c r="F267" s="633">
        <v>4025000</v>
      </c>
      <c r="G267" s="737"/>
      <c r="H267" s="415">
        <f>SUM(F267:G267)</f>
        <v>4025000</v>
      </c>
      <c r="I267" s="633">
        <v>4025000</v>
      </c>
    </row>
    <row r="268" spans="2:10" ht="13.5" customHeight="1">
      <c r="B268" s="791" t="s">
        <v>482</v>
      </c>
      <c r="C268" s="785"/>
      <c r="E268" s="415">
        <v>30000000</v>
      </c>
      <c r="F268" s="633">
        <v>30000000</v>
      </c>
      <c r="G268" s="737"/>
      <c r="H268" s="415">
        <f>SUM(F268:G268)</f>
        <v>30000000</v>
      </c>
      <c r="I268" s="633">
        <v>30000000</v>
      </c>
    </row>
    <row r="269" spans="2:10" ht="13.5" customHeight="1">
      <c r="B269" s="791" t="s">
        <v>483</v>
      </c>
      <c r="E269" s="415">
        <v>51043000</v>
      </c>
      <c r="F269" s="633">
        <v>51043000</v>
      </c>
      <c r="G269" s="737">
        <v>-2270000</v>
      </c>
      <c r="H269" s="415">
        <v>51373000</v>
      </c>
      <c r="I269" s="633">
        <f>47573000+1200000+2600000</f>
        <v>51373000</v>
      </c>
    </row>
    <row r="270" spans="2:10" ht="13.5" customHeight="1">
      <c r="B270" s="791" t="s">
        <v>484</v>
      </c>
      <c r="E270" s="415">
        <v>5316000</v>
      </c>
      <c r="F270" s="633">
        <f>7000000-1684000</f>
        <v>5316000</v>
      </c>
      <c r="G270" s="737"/>
      <c r="H270" s="415">
        <f>SUM(F270:G270)</f>
        <v>5316000</v>
      </c>
      <c r="I270" s="633">
        <f>430000+1064000+743000+858000+822000+788000+611000</f>
        <v>5316000</v>
      </c>
    </row>
    <row r="271" spans="2:10" ht="13.5" hidden="1" customHeight="1">
      <c r="B271" s="791" t="s">
        <v>484</v>
      </c>
      <c r="C271" s="739" t="s">
        <v>409</v>
      </c>
      <c r="F271" s="633">
        <v>0</v>
      </c>
      <c r="G271" s="737"/>
      <c r="H271" s="415">
        <f>SUM(F271:G271)</f>
        <v>0</v>
      </c>
      <c r="I271" s="633"/>
    </row>
    <row r="272" spans="2:10" ht="13.5" customHeight="1">
      <c r="B272" s="791" t="s">
        <v>485</v>
      </c>
      <c r="E272" s="415">
        <v>8000000</v>
      </c>
      <c r="F272" s="633">
        <v>8000000</v>
      </c>
      <c r="G272" s="737"/>
      <c r="H272" s="633">
        <v>610000</v>
      </c>
      <c r="I272" s="633"/>
    </row>
    <row r="273" spans="2:9" ht="13.5" hidden="1" customHeight="1">
      <c r="B273" s="791" t="s">
        <v>485</v>
      </c>
      <c r="C273" s="739" t="s">
        <v>409</v>
      </c>
      <c r="F273" s="633">
        <v>0</v>
      </c>
      <c r="G273" s="737"/>
      <c r="H273" s="633">
        <f>SUM(F273:G273)</f>
        <v>0</v>
      </c>
      <c r="I273" s="633"/>
    </row>
    <row r="274" spans="2:9" ht="9" customHeight="1">
      <c r="B274" s="791"/>
      <c r="C274" s="739"/>
      <c r="F274" s="633"/>
      <c r="G274" s="744"/>
      <c r="H274" s="633"/>
      <c r="I274" s="633"/>
    </row>
    <row r="275" spans="2:9" ht="15" customHeight="1">
      <c r="B275" s="775" t="s">
        <v>486</v>
      </c>
      <c r="C275" s="785"/>
      <c r="F275" s="633"/>
      <c r="G275" s="744"/>
      <c r="H275" s="633"/>
    </row>
    <row r="276" spans="2:9" ht="14.25" customHeight="1">
      <c r="B276" s="774" t="s">
        <v>487</v>
      </c>
      <c r="F276" s="633">
        <v>0</v>
      </c>
      <c r="G276" s="737">
        <v>500000</v>
      </c>
      <c r="H276" s="415">
        <f t="shared" ref="H276:H298" si="8">SUM(F276:G276)</f>
        <v>500000</v>
      </c>
      <c r="I276" s="633">
        <v>500000</v>
      </c>
    </row>
    <row r="277" spans="2:9" ht="14.25" hidden="1" customHeight="1">
      <c r="B277" s="774" t="s">
        <v>488</v>
      </c>
      <c r="F277" s="633"/>
      <c r="G277" s="737"/>
      <c r="H277" s="415">
        <f t="shared" si="8"/>
        <v>0</v>
      </c>
      <c r="I277" s="633"/>
    </row>
    <row r="278" spans="2:9" ht="14.25" hidden="1" customHeight="1">
      <c r="B278" s="774" t="s">
        <v>489</v>
      </c>
      <c r="F278" s="633"/>
      <c r="G278" s="737"/>
      <c r="H278" s="415">
        <f t="shared" si="8"/>
        <v>0</v>
      </c>
      <c r="I278" s="633"/>
    </row>
    <row r="279" spans="2:9" ht="14.25" hidden="1" customHeight="1">
      <c r="B279" s="774" t="s">
        <v>490</v>
      </c>
      <c r="F279" s="633"/>
      <c r="G279" s="737"/>
      <c r="H279" s="415">
        <f t="shared" si="8"/>
        <v>0</v>
      </c>
      <c r="I279" s="633"/>
    </row>
    <row r="280" spans="2:9" ht="14.25" hidden="1" customHeight="1">
      <c r="B280" s="774" t="s">
        <v>491</v>
      </c>
      <c r="F280" s="633"/>
      <c r="G280" s="737"/>
      <c r="H280" s="415">
        <f t="shared" si="8"/>
        <v>0</v>
      </c>
      <c r="I280" s="633"/>
    </row>
    <row r="281" spans="2:9" ht="14.25" hidden="1" customHeight="1">
      <c r="B281" s="774" t="s">
        <v>492</v>
      </c>
      <c r="F281" s="633"/>
      <c r="G281" s="737"/>
      <c r="H281" s="415">
        <f t="shared" si="8"/>
        <v>0</v>
      </c>
      <c r="I281" s="633"/>
    </row>
    <row r="282" spans="2:9" ht="14.25" customHeight="1">
      <c r="B282" s="774" t="s">
        <v>493</v>
      </c>
      <c r="F282" s="633">
        <v>0</v>
      </c>
      <c r="G282" s="737">
        <v>1400000</v>
      </c>
      <c r="H282" s="415">
        <f t="shared" si="8"/>
        <v>1400000</v>
      </c>
      <c r="I282" s="633">
        <v>1400000</v>
      </c>
    </row>
    <row r="283" spans="2:9" ht="14.25" customHeight="1">
      <c r="B283" s="774" t="s">
        <v>494</v>
      </c>
      <c r="F283" s="633">
        <v>0</v>
      </c>
      <c r="G283" s="737">
        <v>3000000</v>
      </c>
      <c r="H283" s="415">
        <f t="shared" si="8"/>
        <v>3000000</v>
      </c>
      <c r="I283" s="633">
        <v>3000000</v>
      </c>
    </row>
    <row r="284" spans="2:9" ht="14.25" hidden="1" customHeight="1">
      <c r="B284" s="774" t="s">
        <v>495</v>
      </c>
      <c r="F284" s="633"/>
      <c r="G284" s="737"/>
      <c r="H284" s="415">
        <f t="shared" si="8"/>
        <v>0</v>
      </c>
      <c r="I284" s="633"/>
    </row>
    <row r="285" spans="2:9" ht="14.25" customHeight="1">
      <c r="B285" s="774" t="s">
        <v>496</v>
      </c>
      <c r="F285" s="633">
        <v>0</v>
      </c>
      <c r="G285" s="737">
        <v>1000000</v>
      </c>
      <c r="H285" s="415">
        <f t="shared" si="8"/>
        <v>1000000</v>
      </c>
      <c r="I285" s="633">
        <v>1000000</v>
      </c>
    </row>
    <row r="286" spans="2:9" ht="14.25" customHeight="1">
      <c r="B286" s="774" t="s">
        <v>497</v>
      </c>
      <c r="F286" s="633">
        <v>0</v>
      </c>
      <c r="G286" s="737">
        <v>500000</v>
      </c>
      <c r="H286" s="415">
        <f t="shared" si="8"/>
        <v>500000</v>
      </c>
      <c r="I286" s="633">
        <v>500000</v>
      </c>
    </row>
    <row r="287" spans="2:9" ht="14.25" hidden="1" customHeight="1">
      <c r="B287" s="774" t="s">
        <v>498</v>
      </c>
      <c r="F287" s="633"/>
      <c r="G287" s="737"/>
      <c r="H287" s="415">
        <f t="shared" si="8"/>
        <v>0</v>
      </c>
      <c r="I287" s="633"/>
    </row>
    <row r="288" spans="2:9" ht="14.25" hidden="1" customHeight="1">
      <c r="B288" s="774" t="s">
        <v>499</v>
      </c>
      <c r="F288" s="633"/>
      <c r="G288" s="737"/>
      <c r="H288" s="415">
        <f t="shared" si="8"/>
        <v>0</v>
      </c>
      <c r="I288" s="633"/>
    </row>
    <row r="289" spans="2:9" ht="14.25" hidden="1" customHeight="1">
      <c r="B289" s="774" t="s">
        <v>500</v>
      </c>
      <c r="F289" s="633"/>
      <c r="G289" s="737"/>
      <c r="H289" s="415">
        <f t="shared" si="8"/>
        <v>0</v>
      </c>
      <c r="I289" s="633"/>
    </row>
    <row r="290" spans="2:9" ht="14.25" customHeight="1">
      <c r="B290" s="774" t="s">
        <v>501</v>
      </c>
      <c r="F290" s="633">
        <v>0</v>
      </c>
      <c r="G290" s="737">
        <v>150000</v>
      </c>
      <c r="H290" s="415">
        <f t="shared" si="8"/>
        <v>150000</v>
      </c>
      <c r="I290" s="633">
        <v>150000</v>
      </c>
    </row>
    <row r="291" spans="2:9" ht="14.25" customHeight="1">
      <c r="B291" s="774" t="s">
        <v>502</v>
      </c>
      <c r="F291" s="633">
        <v>0</v>
      </c>
      <c r="G291" s="737">
        <v>1000000</v>
      </c>
      <c r="H291" s="415">
        <f t="shared" si="8"/>
        <v>1000000</v>
      </c>
      <c r="I291" s="633">
        <v>1000000</v>
      </c>
    </row>
    <row r="292" spans="2:9" ht="14.25" hidden="1" customHeight="1">
      <c r="B292" s="774" t="s">
        <v>503</v>
      </c>
      <c r="F292" s="633"/>
      <c r="G292" s="737"/>
      <c r="H292" s="415">
        <f t="shared" si="8"/>
        <v>0</v>
      </c>
      <c r="I292" s="633"/>
    </row>
    <row r="293" spans="2:9" ht="14.25" customHeight="1">
      <c r="B293" s="774" t="s">
        <v>504</v>
      </c>
      <c r="F293" s="633">
        <v>0</v>
      </c>
      <c r="G293" s="737">
        <v>1000000</v>
      </c>
      <c r="H293" s="415">
        <f t="shared" si="8"/>
        <v>1000000</v>
      </c>
      <c r="I293" s="633">
        <f>600000+400000</f>
        <v>1000000</v>
      </c>
    </row>
    <row r="294" spans="2:9" ht="14.25" customHeight="1">
      <c r="B294" s="774" t="s">
        <v>505</v>
      </c>
      <c r="F294" s="633">
        <v>0</v>
      </c>
      <c r="G294" s="737">
        <v>700000</v>
      </c>
      <c r="H294" s="415">
        <f t="shared" si="8"/>
        <v>700000</v>
      </c>
      <c r="I294" s="633">
        <f>200000+500000</f>
        <v>700000</v>
      </c>
    </row>
    <row r="295" spans="2:9" ht="14.25" hidden="1" customHeight="1">
      <c r="B295" s="774" t="s">
        <v>506</v>
      </c>
      <c r="F295" s="633"/>
      <c r="G295" s="737"/>
      <c r="H295" s="415">
        <f t="shared" si="8"/>
        <v>0</v>
      </c>
      <c r="I295" s="633"/>
    </row>
    <row r="296" spans="2:9" ht="14.25" customHeight="1">
      <c r="B296" s="774" t="s">
        <v>507</v>
      </c>
      <c r="F296" s="633">
        <v>0</v>
      </c>
      <c r="G296" s="737">
        <f>2550000-1200000</f>
        <v>1350000</v>
      </c>
      <c r="H296" s="415">
        <f t="shared" si="8"/>
        <v>1350000</v>
      </c>
      <c r="I296" s="633">
        <f>1100000+250000</f>
        <v>1350000</v>
      </c>
    </row>
    <row r="297" spans="2:9" ht="14.25" customHeight="1">
      <c r="B297" s="774" t="s">
        <v>508</v>
      </c>
      <c r="F297" s="633">
        <v>0</v>
      </c>
      <c r="G297" s="737">
        <v>200000</v>
      </c>
      <c r="H297" s="415">
        <f t="shared" si="8"/>
        <v>200000</v>
      </c>
      <c r="I297" s="633">
        <v>200000</v>
      </c>
    </row>
    <row r="298" spans="2:9" ht="14.25" customHeight="1">
      <c r="B298" s="774" t="s">
        <v>509</v>
      </c>
      <c r="F298" s="633">
        <v>0</v>
      </c>
      <c r="G298" s="737">
        <v>1000000</v>
      </c>
      <c r="H298" s="415">
        <f t="shared" si="8"/>
        <v>1000000</v>
      </c>
      <c r="I298" s="633">
        <v>1000000</v>
      </c>
    </row>
    <row r="299" spans="2:9" ht="15.75" customHeight="1">
      <c r="B299" s="774"/>
      <c r="C299" s="745"/>
      <c r="F299" s="633"/>
      <c r="G299" s="744"/>
      <c r="H299" s="415"/>
      <c r="I299" s="633"/>
    </row>
    <row r="300" spans="2:9" ht="15.75" customHeight="1">
      <c r="B300" s="775" t="s">
        <v>510</v>
      </c>
      <c r="C300" s="745"/>
      <c r="F300" s="633"/>
      <c r="G300" s="744"/>
      <c r="H300" s="415"/>
      <c r="I300" s="633"/>
    </row>
    <row r="301" spans="2:9" ht="15" customHeight="1">
      <c r="B301" s="795" t="s">
        <v>511</v>
      </c>
      <c r="C301" s="739"/>
      <c r="E301" s="415">
        <v>1000000</v>
      </c>
      <c r="F301" s="633">
        <v>1000000</v>
      </c>
      <c r="G301" s="737">
        <v>103000</v>
      </c>
      <c r="H301" s="415">
        <f>SUM(F301:G301)</f>
        <v>1103000</v>
      </c>
      <c r="I301" s="633">
        <f>1000000+103000</f>
        <v>1103000</v>
      </c>
    </row>
    <row r="302" spans="2:9" ht="15" customHeight="1">
      <c r="B302" s="795" t="s">
        <v>512</v>
      </c>
      <c r="C302" s="739"/>
      <c r="F302" s="633">
        <v>0</v>
      </c>
      <c r="G302" s="737">
        <v>200000</v>
      </c>
      <c r="H302" s="415">
        <v>0</v>
      </c>
      <c r="I302" s="633"/>
    </row>
    <row r="303" spans="2:9" ht="15" hidden="1" customHeight="1">
      <c r="B303" s="719" t="s">
        <v>434</v>
      </c>
      <c r="C303" s="785"/>
      <c r="E303" s="415">
        <v>8000000</v>
      </c>
      <c r="F303" s="633">
        <v>8000000</v>
      </c>
      <c r="G303" s="737"/>
      <c r="H303" s="415">
        <v>0</v>
      </c>
      <c r="I303" s="633"/>
    </row>
    <row r="304" spans="2:9" ht="7.5" customHeight="1">
      <c r="C304" s="785"/>
      <c r="F304" s="633"/>
      <c r="G304" s="744"/>
      <c r="H304" s="415"/>
      <c r="I304" s="633"/>
    </row>
    <row r="305" spans="2:10" ht="13.5" customHeight="1">
      <c r="B305" s="775" t="s">
        <v>513</v>
      </c>
      <c r="C305" s="785">
        <f>SUM(H306:H373)</f>
        <v>45324600</v>
      </c>
      <c r="F305" s="633"/>
      <c r="G305" s="744"/>
      <c r="H305" s="415"/>
      <c r="J305" s="415"/>
    </row>
    <row r="306" spans="2:10" ht="15" hidden="1" customHeight="1">
      <c r="B306" s="774" t="s">
        <v>514</v>
      </c>
      <c r="C306" s="785"/>
      <c r="F306" s="633"/>
      <c r="G306" s="737"/>
      <c r="H306" s="415">
        <f>SUM(F306:G306)</f>
        <v>0</v>
      </c>
      <c r="I306" s="633"/>
    </row>
    <row r="307" spans="2:10" ht="15" customHeight="1">
      <c r="B307" s="774" t="s">
        <v>514</v>
      </c>
      <c r="C307" s="785"/>
      <c r="F307" s="633"/>
      <c r="G307" s="737"/>
      <c r="H307" s="415">
        <v>100000</v>
      </c>
      <c r="I307" s="633">
        <v>100000</v>
      </c>
    </row>
    <row r="308" spans="2:10" ht="15" customHeight="1">
      <c r="B308" s="774" t="s">
        <v>515</v>
      </c>
      <c r="C308" s="785"/>
      <c r="F308" s="633">
        <v>0</v>
      </c>
      <c r="G308" s="737">
        <v>160000</v>
      </c>
      <c r="H308" s="415">
        <f t="shared" ref="H308:H315" si="9">SUM(F308:G308)</f>
        <v>160000</v>
      </c>
      <c r="I308" s="633">
        <v>160000</v>
      </c>
    </row>
    <row r="309" spans="2:10" ht="15" hidden="1" customHeight="1">
      <c r="B309" s="774" t="s">
        <v>516</v>
      </c>
      <c r="C309" s="785"/>
      <c r="F309" s="633"/>
      <c r="G309" s="737"/>
      <c r="H309" s="415">
        <f t="shared" si="9"/>
        <v>0</v>
      </c>
      <c r="I309" s="633"/>
    </row>
    <row r="310" spans="2:10" ht="15" hidden="1" customHeight="1">
      <c r="B310" s="774" t="s">
        <v>517</v>
      </c>
      <c r="C310" s="785" t="s">
        <v>409</v>
      </c>
      <c r="F310" s="633">
        <v>0</v>
      </c>
      <c r="G310" s="737"/>
      <c r="H310" s="415">
        <f t="shared" si="9"/>
        <v>0</v>
      </c>
      <c r="I310" s="633"/>
    </row>
    <row r="311" spans="2:10" ht="13.5" customHeight="1">
      <c r="B311" s="774" t="s">
        <v>518</v>
      </c>
      <c r="C311" s="785"/>
      <c r="F311" s="633">
        <v>0</v>
      </c>
      <c r="G311" s="737">
        <v>200000</v>
      </c>
      <c r="H311" s="415">
        <f t="shared" si="9"/>
        <v>200000</v>
      </c>
      <c r="I311" s="633">
        <v>200000</v>
      </c>
      <c r="J311" s="415"/>
    </row>
    <row r="312" spans="2:10" ht="13.5" hidden="1" customHeight="1">
      <c r="B312" s="774" t="s">
        <v>519</v>
      </c>
      <c r="C312" s="785"/>
      <c r="F312" s="633"/>
      <c r="G312" s="737"/>
      <c r="H312" s="415">
        <f t="shared" si="9"/>
        <v>0</v>
      </c>
      <c r="I312" s="633"/>
      <c r="J312" s="415"/>
    </row>
    <row r="313" spans="2:10" ht="13.5" hidden="1" customHeight="1">
      <c r="B313" s="774" t="s">
        <v>520</v>
      </c>
      <c r="C313" s="785"/>
      <c r="F313" s="633"/>
      <c r="G313" s="737"/>
      <c r="H313" s="415">
        <f t="shared" si="9"/>
        <v>0</v>
      </c>
      <c r="I313" s="633"/>
      <c r="J313" s="415"/>
    </row>
    <row r="314" spans="2:10" ht="13.5" customHeight="1">
      <c r="B314" s="774" t="s">
        <v>521</v>
      </c>
      <c r="C314" s="785"/>
      <c r="F314" s="633">
        <v>0</v>
      </c>
      <c r="G314" s="737">
        <v>150000</v>
      </c>
      <c r="H314" s="415">
        <f t="shared" si="9"/>
        <v>150000</v>
      </c>
      <c r="I314" s="633">
        <v>150000</v>
      </c>
      <c r="J314" s="415"/>
    </row>
    <row r="315" spans="2:10" ht="13.5" customHeight="1">
      <c r="B315" s="774" t="s">
        <v>522</v>
      </c>
      <c r="C315" s="785"/>
      <c r="F315" s="633">
        <v>3810000</v>
      </c>
      <c r="G315" s="737">
        <v>-810000</v>
      </c>
      <c r="H315" s="415">
        <f t="shared" si="9"/>
        <v>3000000</v>
      </c>
      <c r="I315" s="633">
        <v>3000000</v>
      </c>
      <c r="J315" s="415"/>
    </row>
    <row r="316" spans="2:10" ht="13.5" customHeight="1">
      <c r="B316" s="774" t="s">
        <v>523</v>
      </c>
      <c r="C316" s="785"/>
      <c r="F316" s="633"/>
      <c r="G316" s="737"/>
      <c r="H316" s="415">
        <v>1000000</v>
      </c>
      <c r="I316" s="633">
        <v>1000000</v>
      </c>
      <c r="J316" s="415"/>
    </row>
    <row r="317" spans="2:10" ht="13.5" customHeight="1">
      <c r="B317" s="774" t="s">
        <v>524</v>
      </c>
      <c r="C317" s="785"/>
      <c r="F317" s="633">
        <v>0</v>
      </c>
      <c r="G317" s="737">
        <v>200000</v>
      </c>
      <c r="H317" s="415">
        <v>300000</v>
      </c>
      <c r="I317" s="633">
        <f>200000+100000</f>
        <v>300000</v>
      </c>
      <c r="J317" s="415"/>
    </row>
    <row r="318" spans="2:10" ht="13.5" hidden="1" customHeight="1">
      <c r="B318" s="774" t="s">
        <v>480</v>
      </c>
      <c r="C318" s="785"/>
      <c r="F318" s="633"/>
      <c r="G318" s="737"/>
      <c r="H318" s="415">
        <f>SUM(F318:G318)</f>
        <v>0</v>
      </c>
      <c r="I318" s="633"/>
      <c r="J318" s="415"/>
    </row>
    <row r="319" spans="2:10" ht="13.5" customHeight="1">
      <c r="B319" s="774" t="s">
        <v>525</v>
      </c>
      <c r="C319" s="785"/>
      <c r="F319" s="633">
        <v>0</v>
      </c>
      <c r="G319" s="737">
        <v>50000</v>
      </c>
      <c r="H319" s="415">
        <v>115000</v>
      </c>
      <c r="I319" s="633">
        <f>50000+65000-1986</f>
        <v>113014</v>
      </c>
      <c r="J319" s="415"/>
    </row>
    <row r="320" spans="2:10" ht="13.5" hidden="1" customHeight="1">
      <c r="B320" s="774" t="s">
        <v>526</v>
      </c>
      <c r="C320" s="785"/>
      <c r="F320" s="633"/>
      <c r="G320" s="737"/>
      <c r="H320" s="415">
        <f>SUM(F320:G320)</f>
        <v>0</v>
      </c>
      <c r="I320" s="633"/>
      <c r="J320" s="415"/>
    </row>
    <row r="321" spans="2:10" ht="13.5" hidden="1" customHeight="1">
      <c r="B321" s="774" t="s">
        <v>527</v>
      </c>
      <c r="C321" s="785"/>
      <c r="F321" s="633"/>
      <c r="G321" s="737"/>
      <c r="H321" s="415">
        <f>SUM(F321:G321)</f>
        <v>0</v>
      </c>
      <c r="I321" s="633"/>
      <c r="J321" s="415"/>
    </row>
    <row r="322" spans="2:10" ht="13.5" customHeight="1">
      <c r="B322" s="774" t="s">
        <v>528</v>
      </c>
      <c r="C322" s="785"/>
      <c r="F322" s="633"/>
      <c r="G322" s="737"/>
      <c r="H322" s="415">
        <v>250000</v>
      </c>
      <c r="I322" s="633">
        <v>250000</v>
      </c>
      <c r="J322" s="415"/>
    </row>
    <row r="323" spans="2:10" ht="13.5" customHeight="1">
      <c r="B323" s="774" t="s">
        <v>529</v>
      </c>
      <c r="C323" s="785"/>
      <c r="E323" s="415">
        <v>1942000</v>
      </c>
      <c r="F323" s="633">
        <v>1942000</v>
      </c>
      <c r="G323" s="737">
        <v>540000</v>
      </c>
      <c r="H323" s="415">
        <f>SUM(F323:G323)</f>
        <v>2482000</v>
      </c>
      <c r="I323" s="633">
        <f>1942000+540000</f>
        <v>2482000</v>
      </c>
      <c r="J323" s="415"/>
    </row>
    <row r="324" spans="2:10" ht="13.5" hidden="1" customHeight="1">
      <c r="B324" s="774" t="s">
        <v>530</v>
      </c>
      <c r="C324" s="785"/>
      <c r="F324" s="633"/>
      <c r="G324" s="737"/>
      <c r="H324" s="415">
        <f>SUM(F324:G324)</f>
        <v>0</v>
      </c>
      <c r="I324" s="633"/>
      <c r="J324" s="415"/>
    </row>
    <row r="325" spans="2:10" ht="13.5" hidden="1" customHeight="1">
      <c r="B325" s="774" t="s">
        <v>531</v>
      </c>
      <c r="C325" s="785"/>
      <c r="F325" s="633"/>
      <c r="G325" s="737"/>
      <c r="H325" s="415">
        <f>SUM(F325:G325)</f>
        <v>0</v>
      </c>
      <c r="I325" s="633"/>
      <c r="J325" s="415"/>
    </row>
    <row r="326" spans="2:10" ht="13.5" customHeight="1">
      <c r="B326" s="774" t="s">
        <v>532</v>
      </c>
      <c r="C326" s="785"/>
      <c r="F326" s="633">
        <v>0</v>
      </c>
      <c r="G326" s="737">
        <v>525600</v>
      </c>
      <c r="H326" s="415">
        <f>SUM(F326:G326)</f>
        <v>525600</v>
      </c>
      <c r="I326" s="633">
        <f>525600-9604</f>
        <v>515996</v>
      </c>
      <c r="J326" s="415"/>
    </row>
    <row r="327" spans="2:10" ht="13.5" customHeight="1">
      <c r="B327" s="774" t="s">
        <v>533</v>
      </c>
      <c r="C327" s="785"/>
      <c r="F327" s="633">
        <v>0</v>
      </c>
      <c r="G327" s="737">
        <v>200000</v>
      </c>
      <c r="H327" s="415">
        <f>SUM(F327:G327)</f>
        <v>200000</v>
      </c>
      <c r="I327" s="633">
        <v>200000</v>
      </c>
      <c r="J327" s="415"/>
    </row>
    <row r="328" spans="2:10" ht="13.5" customHeight="1">
      <c r="B328" s="774" t="s">
        <v>534</v>
      </c>
      <c r="C328" s="785"/>
      <c r="F328" s="633"/>
      <c r="G328" s="737"/>
      <c r="H328" s="415">
        <v>500000</v>
      </c>
      <c r="I328" s="633">
        <v>500000</v>
      </c>
      <c r="J328" s="415"/>
    </row>
    <row r="329" spans="2:10" ht="13.5" customHeight="1">
      <c r="B329" s="774" t="s">
        <v>535</v>
      </c>
      <c r="C329" s="785"/>
      <c r="F329" s="633">
        <v>0</v>
      </c>
      <c r="G329" s="737">
        <v>200000</v>
      </c>
      <c r="H329" s="415">
        <f>SUM(F329:G329)</f>
        <v>200000</v>
      </c>
      <c r="I329" s="633">
        <v>200000</v>
      </c>
      <c r="J329" s="415"/>
    </row>
    <row r="330" spans="2:10" ht="13.5" hidden="1" customHeight="1">
      <c r="B330" s="774" t="s">
        <v>536</v>
      </c>
      <c r="C330" s="785"/>
      <c r="F330" s="633"/>
      <c r="G330" s="737"/>
      <c r="H330" s="415">
        <f>SUM(F330:G330)</f>
        <v>0</v>
      </c>
      <c r="I330" s="633"/>
      <c r="J330" s="415"/>
    </row>
    <row r="331" spans="2:10" ht="13.5" customHeight="1">
      <c r="B331" s="774" t="s">
        <v>537</v>
      </c>
      <c r="C331" s="785"/>
      <c r="F331" s="633">
        <v>0</v>
      </c>
      <c r="G331" s="737">
        <v>250000</v>
      </c>
      <c r="H331" s="415">
        <f>SUM(F331:G331)</f>
        <v>250000</v>
      </c>
      <c r="I331" s="633">
        <v>250000</v>
      </c>
      <c r="J331" s="415"/>
    </row>
    <row r="332" spans="2:10" ht="13.5" hidden="1" customHeight="1">
      <c r="B332" s="774" t="s">
        <v>481</v>
      </c>
      <c r="C332" s="785"/>
      <c r="F332" s="633"/>
      <c r="G332" s="737"/>
      <c r="H332" s="415">
        <f>SUM(F332:G332)</f>
        <v>0</v>
      </c>
      <c r="I332" s="633"/>
      <c r="J332" s="415"/>
    </row>
    <row r="333" spans="2:10" ht="13.5" customHeight="1">
      <c r="B333" s="774" t="s">
        <v>538</v>
      </c>
      <c r="C333" s="785"/>
      <c r="F333" s="633">
        <v>0</v>
      </c>
      <c r="G333" s="737">
        <v>400000</v>
      </c>
      <c r="H333" s="633">
        <f>SUM(F333:G333)</f>
        <v>400000</v>
      </c>
      <c r="I333" s="633">
        <v>400000</v>
      </c>
      <c r="J333" s="415"/>
    </row>
    <row r="334" spans="2:10" ht="13.5" customHeight="1">
      <c r="B334" s="774" t="s">
        <v>539</v>
      </c>
      <c r="C334" s="785"/>
      <c r="F334" s="633">
        <v>0</v>
      </c>
      <c r="G334" s="737">
        <v>200000</v>
      </c>
      <c r="H334" s="633">
        <v>1200000</v>
      </c>
      <c r="I334" s="633">
        <f>200000+1000000</f>
        <v>1200000</v>
      </c>
      <c r="J334" s="415"/>
    </row>
    <row r="335" spans="2:10" ht="13.5" hidden="1" customHeight="1">
      <c r="B335" s="774" t="s">
        <v>540</v>
      </c>
      <c r="C335" s="785"/>
      <c r="F335" s="633"/>
      <c r="G335" s="737"/>
      <c r="H335" s="415">
        <f>SUM(F335:G335)</f>
        <v>0</v>
      </c>
      <c r="I335" s="633"/>
      <c r="J335" s="415"/>
    </row>
    <row r="336" spans="2:10" ht="13.5" customHeight="1">
      <c r="B336" s="774" t="s">
        <v>541</v>
      </c>
      <c r="C336" s="785"/>
      <c r="F336" s="633"/>
      <c r="G336" s="737"/>
      <c r="H336" s="415">
        <v>500000</v>
      </c>
      <c r="I336" s="633">
        <v>500000</v>
      </c>
      <c r="J336" s="415"/>
    </row>
    <row r="337" spans="2:10" ht="13.5" hidden="1" customHeight="1">
      <c r="B337" s="774" t="s">
        <v>542</v>
      </c>
      <c r="C337" s="785"/>
      <c r="F337" s="633"/>
      <c r="G337" s="737"/>
      <c r="H337" s="415">
        <f>SUM(F337:G337)</f>
        <v>0</v>
      </c>
      <c r="I337" s="633"/>
      <c r="J337" s="415"/>
    </row>
    <row r="338" spans="2:10" ht="13.5" hidden="1" customHeight="1">
      <c r="B338" s="774" t="s">
        <v>543</v>
      </c>
      <c r="C338" s="785"/>
      <c r="F338" s="633"/>
      <c r="G338" s="737"/>
      <c r="H338" s="415">
        <f>SUM(F338:G338)</f>
        <v>0</v>
      </c>
      <c r="I338" s="633"/>
      <c r="J338" s="415"/>
    </row>
    <row r="339" spans="2:10" ht="13.5" customHeight="1">
      <c r="B339" s="774" t="s">
        <v>544</v>
      </c>
      <c r="C339" s="785"/>
      <c r="F339" s="633">
        <v>0</v>
      </c>
      <c r="G339" s="737">
        <v>500000</v>
      </c>
      <c r="H339" s="415">
        <v>750000</v>
      </c>
      <c r="I339" s="633">
        <f>500000+250000</f>
        <v>750000</v>
      </c>
      <c r="J339" s="415"/>
    </row>
    <row r="340" spans="2:10" ht="13.5" hidden="1" customHeight="1">
      <c r="B340" s="774" t="s">
        <v>545</v>
      </c>
      <c r="C340" s="785"/>
      <c r="F340" s="633"/>
      <c r="G340" s="737"/>
      <c r="H340" s="415">
        <f>SUM(F340:G340)</f>
        <v>0</v>
      </c>
      <c r="I340" s="633"/>
      <c r="J340" s="415"/>
    </row>
    <row r="341" spans="2:10" ht="13.5" hidden="1" customHeight="1">
      <c r="B341" s="774" t="s">
        <v>546</v>
      </c>
      <c r="C341" s="785"/>
      <c r="F341" s="633"/>
      <c r="G341" s="737"/>
      <c r="H341" s="415">
        <f>SUM(F341:G341)</f>
        <v>0</v>
      </c>
      <c r="I341" s="633"/>
      <c r="J341" s="415"/>
    </row>
    <row r="342" spans="2:10" ht="13.5" customHeight="1">
      <c r="B342" s="774" t="s">
        <v>547</v>
      </c>
      <c r="C342" s="785"/>
      <c r="F342" s="633">
        <v>0</v>
      </c>
      <c r="G342" s="737">
        <v>950000</v>
      </c>
      <c r="H342" s="415">
        <v>2150000</v>
      </c>
      <c r="I342" s="633">
        <f>950000+1200000</f>
        <v>2150000</v>
      </c>
      <c r="J342" s="415"/>
    </row>
    <row r="343" spans="2:10" ht="13.5" hidden="1" customHeight="1">
      <c r="B343" s="774" t="s">
        <v>548</v>
      </c>
      <c r="C343" s="785"/>
      <c r="F343" s="633"/>
      <c r="G343" s="737"/>
      <c r="H343" s="415">
        <f t="shared" ref="H343:H348" si="10">SUM(F343:G343)</f>
        <v>0</v>
      </c>
      <c r="I343" s="633"/>
      <c r="J343" s="415"/>
    </row>
    <row r="344" spans="2:10" ht="13.5" customHeight="1">
      <c r="B344" s="774" t="s">
        <v>549</v>
      </c>
      <c r="C344" s="785"/>
      <c r="F344" s="633">
        <v>0</v>
      </c>
      <c r="G344" s="737">
        <v>100000</v>
      </c>
      <c r="H344" s="415">
        <f t="shared" si="10"/>
        <v>100000</v>
      </c>
      <c r="I344" s="633">
        <v>100000</v>
      </c>
      <c r="J344" s="415"/>
    </row>
    <row r="345" spans="2:10" ht="13.5" hidden="1" customHeight="1">
      <c r="B345" s="774" t="s">
        <v>550</v>
      </c>
      <c r="C345" s="785"/>
      <c r="F345" s="633"/>
      <c r="G345" s="737"/>
      <c r="H345" s="415">
        <f t="shared" si="10"/>
        <v>0</v>
      </c>
      <c r="I345" s="633"/>
      <c r="J345" s="415"/>
    </row>
    <row r="346" spans="2:10" ht="13.5" hidden="1" customHeight="1">
      <c r="B346" s="774" t="s">
        <v>551</v>
      </c>
      <c r="C346" s="785"/>
      <c r="F346" s="633"/>
      <c r="G346" s="737"/>
      <c r="H346" s="415">
        <f t="shared" si="10"/>
        <v>0</v>
      </c>
      <c r="I346" s="633"/>
      <c r="J346" s="415"/>
    </row>
    <row r="347" spans="2:10" ht="13.5" customHeight="1">
      <c r="B347" s="774" t="s">
        <v>552</v>
      </c>
      <c r="C347" s="785"/>
      <c r="F347" s="633">
        <v>0</v>
      </c>
      <c r="G347" s="737">
        <v>300000</v>
      </c>
      <c r="H347" s="415">
        <f t="shared" si="10"/>
        <v>300000</v>
      </c>
      <c r="I347" s="633">
        <v>300000</v>
      </c>
      <c r="J347" s="415"/>
    </row>
    <row r="348" spans="2:10" ht="13.5" customHeight="1">
      <c r="B348" s="774" t="s">
        <v>553</v>
      </c>
      <c r="C348" s="785"/>
      <c r="F348" s="633">
        <v>0</v>
      </c>
      <c r="G348" s="737">
        <v>141000</v>
      </c>
      <c r="H348" s="415">
        <f t="shared" si="10"/>
        <v>141000</v>
      </c>
      <c r="I348" s="633">
        <v>141000</v>
      </c>
      <c r="J348" s="415"/>
    </row>
    <row r="349" spans="2:10" ht="13.5" customHeight="1">
      <c r="B349" s="774" t="s">
        <v>554</v>
      </c>
      <c r="C349" s="785"/>
      <c r="F349" s="633">
        <v>0</v>
      </c>
      <c r="G349" s="737">
        <v>500000</v>
      </c>
      <c r="H349" s="415">
        <v>900000</v>
      </c>
      <c r="I349" s="633">
        <f>500000+400000</f>
        <v>900000</v>
      </c>
      <c r="J349" s="415"/>
    </row>
    <row r="350" spans="2:10" ht="13.5" customHeight="1">
      <c r="B350" s="774" t="s">
        <v>555</v>
      </c>
      <c r="C350" s="785"/>
      <c r="F350" s="633">
        <v>0</v>
      </c>
      <c r="G350" s="737">
        <v>196000</v>
      </c>
      <c r="H350" s="415">
        <f>SUM(F350:G350)</f>
        <v>196000</v>
      </c>
      <c r="I350" s="633">
        <v>196000</v>
      </c>
      <c r="J350" s="415"/>
    </row>
    <row r="351" spans="2:10" ht="13.5" hidden="1" customHeight="1">
      <c r="B351" s="774" t="s">
        <v>556</v>
      </c>
      <c r="C351" s="785"/>
      <c r="F351" s="633"/>
      <c r="G351" s="737"/>
      <c r="H351" s="415">
        <f>SUM(F351:G351)</f>
        <v>0</v>
      </c>
      <c r="I351" s="633"/>
      <c r="J351" s="415"/>
    </row>
    <row r="352" spans="2:10" ht="13.5" customHeight="1">
      <c r="B352" s="774" t="s">
        <v>557</v>
      </c>
      <c r="C352" s="785"/>
      <c r="F352" s="633"/>
      <c r="G352" s="737"/>
      <c r="H352" s="415">
        <v>320000</v>
      </c>
      <c r="I352" s="633">
        <v>320000</v>
      </c>
      <c r="J352" s="415"/>
    </row>
    <row r="353" spans="2:10" ht="13.5" customHeight="1">
      <c r="B353" s="774" t="s">
        <v>558</v>
      </c>
      <c r="C353" s="785"/>
      <c r="F353" s="633"/>
      <c r="G353" s="737"/>
      <c r="H353" s="415">
        <v>3000000</v>
      </c>
      <c r="I353" s="633">
        <v>3000000</v>
      </c>
      <c r="J353" s="415"/>
    </row>
    <row r="354" spans="2:10" ht="13.5" customHeight="1">
      <c r="B354" s="774" t="s">
        <v>559</v>
      </c>
      <c r="C354" s="785"/>
      <c r="F354" s="633"/>
      <c r="G354" s="737"/>
      <c r="H354" s="415">
        <v>870000</v>
      </c>
      <c r="I354" s="633">
        <v>870000</v>
      </c>
      <c r="J354" s="415"/>
    </row>
    <row r="355" spans="2:10" ht="13.5" customHeight="1">
      <c r="B355" s="774" t="s">
        <v>560</v>
      </c>
      <c r="C355" s="785"/>
      <c r="F355" s="633">
        <v>0</v>
      </c>
      <c r="G355" s="737">
        <v>690000</v>
      </c>
      <c r="H355" s="415">
        <v>870000</v>
      </c>
      <c r="I355" s="633">
        <f>540000+150000+180000</f>
        <v>870000</v>
      </c>
      <c r="J355" s="415"/>
    </row>
    <row r="356" spans="2:10" ht="13.5" customHeight="1">
      <c r="B356" s="774" t="s">
        <v>561</v>
      </c>
      <c r="C356" s="785"/>
      <c r="F356" s="633">
        <v>0</v>
      </c>
      <c r="G356" s="737">
        <v>100000</v>
      </c>
      <c r="H356" s="415">
        <f>SUM(F356:G356)</f>
        <v>100000</v>
      </c>
      <c r="I356" s="633">
        <v>100000</v>
      </c>
      <c r="J356" s="415"/>
    </row>
    <row r="357" spans="2:10" ht="13.5" customHeight="1">
      <c r="B357" s="774" t="s">
        <v>562</v>
      </c>
      <c r="F357" s="633">
        <v>0</v>
      </c>
      <c r="G357" s="737">
        <v>330000</v>
      </c>
      <c r="H357" s="415">
        <f>SUM(F357:G357)</f>
        <v>330000</v>
      </c>
      <c r="I357" s="633">
        <v>330000</v>
      </c>
      <c r="J357" s="415"/>
    </row>
    <row r="358" spans="2:10" ht="13.5" hidden="1" customHeight="1">
      <c r="B358" s="774" t="s">
        <v>563</v>
      </c>
      <c r="C358" s="785"/>
      <c r="F358" s="633"/>
      <c r="G358" s="737"/>
      <c r="H358" s="415">
        <f>SUM(F358:G358)</f>
        <v>0</v>
      </c>
      <c r="I358" s="633"/>
      <c r="J358" s="415"/>
    </row>
    <row r="359" spans="2:10" ht="13.5" hidden="1" customHeight="1">
      <c r="B359" s="774" t="s">
        <v>564</v>
      </c>
      <c r="C359" s="785"/>
      <c r="F359" s="633"/>
      <c r="G359" s="737"/>
      <c r="H359" s="415">
        <f>SUM(F359:G359)</f>
        <v>0</v>
      </c>
      <c r="I359" s="633"/>
      <c r="J359" s="415"/>
    </row>
    <row r="360" spans="2:10" ht="13.5" customHeight="1">
      <c r="B360" s="774" t="s">
        <v>565</v>
      </c>
      <c r="C360" s="785"/>
      <c r="F360" s="633"/>
      <c r="G360" s="737"/>
      <c r="H360" s="415">
        <v>600000</v>
      </c>
      <c r="I360" s="633">
        <v>600000</v>
      </c>
      <c r="J360" s="415"/>
    </row>
    <row r="361" spans="2:10" ht="13.5" customHeight="1">
      <c r="B361" s="774" t="s">
        <v>566</v>
      </c>
      <c r="C361" s="785"/>
      <c r="F361" s="633">
        <v>0</v>
      </c>
      <c r="G361" s="737">
        <v>785000</v>
      </c>
      <c r="H361" s="415">
        <f>SUM(F361:G361)</f>
        <v>785000</v>
      </c>
      <c r="I361" s="633">
        <f>50000+380000+355000-8453-131030</f>
        <v>645517</v>
      </c>
      <c r="J361" s="415"/>
    </row>
    <row r="362" spans="2:10" ht="13.5" customHeight="1">
      <c r="B362" s="774" t="s">
        <v>567</v>
      </c>
      <c r="C362" s="785"/>
      <c r="F362" s="633">
        <v>300000</v>
      </c>
      <c r="G362" s="737"/>
      <c r="H362" s="415">
        <f>SUM(F362:G362)</f>
        <v>300000</v>
      </c>
      <c r="I362" s="633">
        <v>300000</v>
      </c>
      <c r="J362" s="415"/>
    </row>
    <row r="363" spans="2:10" ht="13.5" customHeight="1">
      <c r="B363" s="774" t="s">
        <v>568</v>
      </c>
      <c r="C363" s="785"/>
      <c r="E363" s="415">
        <v>10600000</v>
      </c>
      <c r="F363" s="633">
        <v>10600000</v>
      </c>
      <c r="G363" s="737"/>
      <c r="H363" s="415">
        <v>10650000</v>
      </c>
      <c r="I363" s="633">
        <f>5300000+5300000+50000</f>
        <v>10650000</v>
      </c>
      <c r="J363" s="415"/>
    </row>
    <row r="364" spans="2:10" ht="15" customHeight="1">
      <c r="B364" s="774" t="s">
        <v>569</v>
      </c>
      <c r="C364" s="796"/>
      <c r="F364" s="415"/>
      <c r="G364" s="737"/>
      <c r="H364" s="415">
        <v>300000</v>
      </c>
      <c r="I364" s="633">
        <v>300000</v>
      </c>
      <c r="J364" s="415"/>
    </row>
    <row r="365" spans="2:10" ht="15.75" customHeight="1">
      <c r="B365" s="774" t="s">
        <v>570</v>
      </c>
      <c r="C365" s="785"/>
      <c r="F365" s="415">
        <v>0</v>
      </c>
      <c r="G365" s="737">
        <v>350000</v>
      </c>
      <c r="H365" s="415">
        <f>SUM(F365:G365)</f>
        <v>350000</v>
      </c>
      <c r="I365" s="633">
        <v>350000</v>
      </c>
      <c r="J365" s="415"/>
    </row>
    <row r="366" spans="2:10" ht="15" hidden="1" customHeight="1">
      <c r="B366" s="774" t="s">
        <v>571</v>
      </c>
      <c r="C366" s="785"/>
      <c r="F366" s="415"/>
      <c r="G366" s="737"/>
      <c r="H366" s="415">
        <f>SUM(F366:G366)</f>
        <v>0</v>
      </c>
      <c r="I366" s="633"/>
      <c r="J366" s="415"/>
    </row>
    <row r="367" spans="2:10" ht="15" customHeight="1">
      <c r="B367" s="774" t="s">
        <v>572</v>
      </c>
      <c r="C367" s="785"/>
      <c r="F367" s="415"/>
      <c r="G367" s="737"/>
      <c r="H367" s="415">
        <v>100000</v>
      </c>
      <c r="I367" s="633">
        <v>100000</v>
      </c>
      <c r="J367" s="415"/>
    </row>
    <row r="368" spans="2:10" ht="15" customHeight="1">
      <c r="B368" s="774" t="s">
        <v>573</v>
      </c>
      <c r="C368" s="785"/>
      <c r="F368" s="415">
        <v>0</v>
      </c>
      <c r="G368" s="737">
        <v>670000</v>
      </c>
      <c r="H368" s="415">
        <v>1270000</v>
      </c>
      <c r="I368" s="633">
        <f>400000+270000+600000</f>
        <v>1270000</v>
      </c>
      <c r="J368" s="415"/>
    </row>
    <row r="369" spans="2:10" ht="16.5" customHeight="1">
      <c r="B369" s="774" t="s">
        <v>574</v>
      </c>
      <c r="C369" s="785"/>
      <c r="D369" s="630"/>
      <c r="F369" s="633">
        <v>0</v>
      </c>
      <c r="G369" s="737">
        <v>100000</v>
      </c>
      <c r="H369" s="415">
        <v>205000</v>
      </c>
      <c r="I369" s="633">
        <f>100000+105000</f>
        <v>205000</v>
      </c>
      <c r="J369" s="415"/>
    </row>
    <row r="370" spans="2:10" ht="15" customHeight="1">
      <c r="B370" s="774" t="s">
        <v>575</v>
      </c>
      <c r="C370" s="785"/>
      <c r="F370" s="415">
        <v>0</v>
      </c>
      <c r="G370" s="737">
        <v>895000</v>
      </c>
      <c r="H370" s="415">
        <v>1895000</v>
      </c>
      <c r="I370" s="633">
        <f>150000+470000+275000+1000000</f>
        <v>1895000</v>
      </c>
      <c r="J370" s="415"/>
    </row>
    <row r="371" spans="2:10" ht="15" customHeight="1">
      <c r="B371" s="774" t="s">
        <v>576</v>
      </c>
      <c r="C371" s="785"/>
      <c r="F371" s="415">
        <v>0</v>
      </c>
      <c r="G371" s="737">
        <v>500000</v>
      </c>
      <c r="H371" s="415">
        <v>700000</v>
      </c>
      <c r="I371" s="633">
        <f>500000+200000</f>
        <v>700000</v>
      </c>
      <c r="J371" s="415"/>
    </row>
    <row r="372" spans="2:10" ht="15" customHeight="1">
      <c r="B372" s="774" t="s">
        <v>577</v>
      </c>
      <c r="C372" s="785"/>
      <c r="F372" s="415">
        <v>0</v>
      </c>
      <c r="G372" s="737">
        <v>760000</v>
      </c>
      <c r="H372" s="415">
        <f>SUM(F372:G372)</f>
        <v>760000</v>
      </c>
      <c r="I372" s="633">
        <f>500000+260000</f>
        <v>760000</v>
      </c>
      <c r="J372" s="415"/>
    </row>
    <row r="373" spans="2:10" ht="13.5" customHeight="1">
      <c r="B373" s="797" t="s">
        <v>578</v>
      </c>
      <c r="C373" s="785"/>
      <c r="E373" s="415">
        <v>7000000</v>
      </c>
      <c r="F373" s="633">
        <v>7000000</v>
      </c>
      <c r="G373" s="737"/>
      <c r="H373" s="415">
        <v>5850000</v>
      </c>
      <c r="I373" s="633">
        <v>5850000</v>
      </c>
      <c r="J373" s="415"/>
    </row>
    <row r="374" spans="2:10" ht="13.5" customHeight="1">
      <c r="B374" s="797" t="s">
        <v>579</v>
      </c>
      <c r="C374" s="785"/>
      <c r="F374" s="633"/>
      <c r="G374" s="737"/>
      <c r="H374" s="415">
        <v>1200000</v>
      </c>
      <c r="I374" s="633">
        <v>1200000</v>
      </c>
      <c r="J374" s="415"/>
    </row>
    <row r="375" spans="2:10" ht="15" customHeight="1">
      <c r="B375" s="747"/>
      <c r="C375" s="741"/>
      <c r="D375" s="748"/>
      <c r="E375" s="777"/>
      <c r="F375" s="447"/>
      <c r="G375" s="332"/>
      <c r="H375" s="447"/>
    </row>
    <row r="376" spans="2:10" ht="16.5" customHeight="1">
      <c r="B376" s="740" t="s">
        <v>580</v>
      </c>
      <c r="C376" s="741"/>
      <c r="D376" s="742"/>
      <c r="E376" s="334">
        <f>SUM(E203:E375)</f>
        <v>224434000</v>
      </c>
      <c r="F376" s="334">
        <f>SUM(F203:F375)</f>
        <v>248372848</v>
      </c>
      <c r="G376" s="328">
        <f>SUM(G203:G375)</f>
        <v>30383756</v>
      </c>
      <c r="H376" s="329">
        <f>SUM(H203:H375)</f>
        <v>287746555</v>
      </c>
      <c r="I376" s="329">
        <f>SUM(I203:I375)</f>
        <v>284344337</v>
      </c>
      <c r="J376" s="415">
        <f>SUM(F376:G376)</f>
        <v>278756604</v>
      </c>
    </row>
    <row r="377" spans="2:10" ht="9" customHeight="1">
      <c r="B377" s="753"/>
      <c r="I377" s="297"/>
    </row>
    <row r="378" spans="2:10" ht="15.75" customHeight="1">
      <c r="B378" s="734" t="s">
        <v>376</v>
      </c>
      <c r="C378" s="297"/>
      <c r="D378" s="749"/>
      <c r="E378" s="297"/>
      <c r="I378" s="750"/>
      <c r="J378" s="483"/>
    </row>
    <row r="379" spans="2:10" ht="8.25" customHeight="1">
      <c r="B379" s="751"/>
      <c r="C379" s="297"/>
      <c r="D379" s="749"/>
      <c r="E379" s="297"/>
      <c r="I379" s="750"/>
      <c r="J379" s="483"/>
    </row>
    <row r="380" spans="2:10" ht="15.75" customHeight="1">
      <c r="B380" s="752" t="s">
        <v>581</v>
      </c>
      <c r="C380" s="297"/>
      <c r="D380" s="749"/>
      <c r="F380" s="415"/>
      <c r="G380" s="737"/>
      <c r="H380" s="415">
        <v>45682781</v>
      </c>
      <c r="I380" s="633"/>
      <c r="J380" s="483"/>
    </row>
    <row r="381" spans="2:10" ht="15.75" hidden="1" customHeight="1">
      <c r="B381" s="752" t="s">
        <v>582</v>
      </c>
      <c r="C381" s="297"/>
      <c r="D381" s="749"/>
      <c r="F381" s="415"/>
      <c r="G381" s="737"/>
      <c r="H381" s="415">
        <f>SUM(F381:G381)</f>
        <v>0</v>
      </c>
      <c r="I381" s="633">
        <f>F381-E381</f>
        <v>0</v>
      </c>
      <c r="J381" s="483"/>
    </row>
    <row r="382" spans="2:10" ht="15.75" hidden="1" customHeight="1">
      <c r="B382" s="752"/>
      <c r="C382" s="297"/>
      <c r="D382" s="749"/>
      <c r="E382" s="297"/>
      <c r="F382" s="415">
        <v>0</v>
      </c>
      <c r="G382" s="737"/>
      <c r="H382" s="415">
        <f>SUM(F382:G382)</f>
        <v>0</v>
      </c>
      <c r="I382" s="750"/>
      <c r="J382" s="483"/>
    </row>
    <row r="383" spans="2:10" ht="6.75" hidden="1" customHeight="1">
      <c r="B383" s="751"/>
      <c r="C383" s="297"/>
      <c r="D383" s="749"/>
      <c r="E383" s="297"/>
      <c r="F383" s="415"/>
      <c r="G383" s="744"/>
      <c r="H383" s="633"/>
      <c r="I383" s="750"/>
      <c r="J383" s="483"/>
    </row>
    <row r="384" spans="2:10" ht="17.25" customHeight="1">
      <c r="B384" s="740" t="s">
        <v>378</v>
      </c>
      <c r="C384" s="297"/>
      <c r="D384" s="749"/>
      <c r="E384" s="334">
        <f>SUM(E379:E383)</f>
        <v>0</v>
      </c>
      <c r="F384" s="334">
        <f>SUM(F379:F383)</f>
        <v>0</v>
      </c>
      <c r="G384" s="328">
        <f>SUM(G379:G383)</f>
        <v>0</v>
      </c>
      <c r="H384" s="329">
        <f>SUM(H379:H383)</f>
        <v>45682781</v>
      </c>
      <c r="I384" s="329"/>
      <c r="J384" s="483"/>
    </row>
    <row r="385" spans="1:10" ht="11.25" customHeight="1">
      <c r="B385" s="753"/>
      <c r="I385" s="297"/>
    </row>
    <row r="386" spans="1:10" ht="13.5" customHeight="1">
      <c r="B386" s="753"/>
      <c r="I386" s="297"/>
    </row>
    <row r="387" spans="1:10" ht="19.5" customHeight="1">
      <c r="B387" s="798" t="s">
        <v>379</v>
      </c>
      <c r="C387" s="755" t="s">
        <v>380</v>
      </c>
      <c r="D387" s="742"/>
      <c r="E387" s="334">
        <f>SUM(E199+E376+E384)</f>
        <v>259278000</v>
      </c>
      <c r="F387" s="334">
        <f>SUM(F199+F376+F384)</f>
        <v>291616848</v>
      </c>
      <c r="G387" s="328">
        <f>SUM(G199+G376+G384)</f>
        <v>27824966</v>
      </c>
      <c r="H387" s="334">
        <f>SUM(H199+H376)</f>
        <v>329050627</v>
      </c>
      <c r="I387" s="334">
        <f>SUM(I199+I376)</f>
        <v>323804368</v>
      </c>
      <c r="J387" s="415">
        <f>SUM(F387:G387)</f>
        <v>319441814</v>
      </c>
    </row>
    <row r="388" spans="1:10" ht="18.75" customHeight="1">
      <c r="B388" s="734"/>
      <c r="C388" s="741"/>
      <c r="D388" s="742"/>
      <c r="E388" s="374"/>
      <c r="F388" s="343"/>
      <c r="G388" s="332"/>
      <c r="H388" s="343"/>
      <c r="J388" s="415"/>
    </row>
    <row r="389" spans="1:10" ht="15" customHeight="1">
      <c r="A389" s="498"/>
      <c r="B389" s="735" t="s">
        <v>583</v>
      </c>
    </row>
    <row r="390" spans="1:10" ht="10.5" customHeight="1">
      <c r="A390" s="498"/>
      <c r="B390" s="735"/>
    </row>
    <row r="391" spans="1:10" ht="21" customHeight="1">
      <c r="A391" s="498"/>
      <c r="B391" s="735" t="s">
        <v>584</v>
      </c>
    </row>
    <row r="392" spans="1:10" ht="9" customHeight="1">
      <c r="A392" s="498"/>
      <c r="B392" s="735"/>
      <c r="F392" s="756"/>
      <c r="G392" s="744"/>
      <c r="H392" s="415"/>
    </row>
    <row r="393" spans="1:10" ht="15" hidden="1" customHeight="1">
      <c r="A393" s="498"/>
      <c r="B393" s="719" t="s">
        <v>585</v>
      </c>
      <c r="F393" s="744">
        <v>0</v>
      </c>
      <c r="G393" s="737"/>
      <c r="H393" s="415"/>
      <c r="I393" s="633"/>
    </row>
    <row r="394" spans="1:10" ht="30.75" customHeight="1">
      <c r="A394" s="498"/>
      <c r="B394" s="738" t="s">
        <v>586</v>
      </c>
      <c r="C394" s="739" t="s">
        <v>409</v>
      </c>
      <c r="D394" s="630"/>
      <c r="E394" s="633">
        <v>5923000</v>
      </c>
      <c r="F394" s="744">
        <v>5923000</v>
      </c>
      <c r="G394" s="737"/>
      <c r="H394" s="415">
        <v>5923028</v>
      </c>
      <c r="I394" s="633"/>
    </row>
    <row r="395" spans="1:10" ht="15" customHeight="1">
      <c r="A395" s="498"/>
      <c r="B395" s="719" t="s">
        <v>587</v>
      </c>
      <c r="F395" s="756"/>
      <c r="G395" s="737"/>
      <c r="H395" s="415">
        <v>2000000</v>
      </c>
      <c r="I395" s="633">
        <v>2000000</v>
      </c>
    </row>
    <row r="396" spans="1:10" ht="15" customHeight="1">
      <c r="A396" s="498"/>
      <c r="B396" s="719" t="s">
        <v>588</v>
      </c>
      <c r="F396" s="744"/>
      <c r="G396" s="737"/>
      <c r="H396" s="415">
        <v>1300000</v>
      </c>
      <c r="I396" s="633">
        <v>1300000</v>
      </c>
    </row>
    <row r="397" spans="1:10" ht="30" hidden="1" customHeight="1">
      <c r="A397" s="498"/>
      <c r="C397" s="739"/>
      <c r="F397" s="744"/>
      <c r="G397" s="737"/>
      <c r="H397" s="415">
        <f>SUM(F397:G397)</f>
        <v>0</v>
      </c>
      <c r="I397" s="633">
        <f>F397-E397</f>
        <v>0</v>
      </c>
    </row>
    <row r="398" spans="1:10" ht="18.75" hidden="1" customHeight="1">
      <c r="A398" s="498"/>
      <c r="C398" s="739"/>
      <c r="F398" s="744"/>
      <c r="G398" s="737"/>
      <c r="H398" s="415">
        <f>SUM(F398:G398)</f>
        <v>0</v>
      </c>
      <c r="I398" s="633">
        <f>F398-E398</f>
        <v>0</v>
      </c>
    </row>
    <row r="399" spans="1:10" ht="18" customHeight="1">
      <c r="A399" s="498"/>
      <c r="B399" s="735"/>
      <c r="F399" s="447"/>
      <c r="G399" s="332"/>
      <c r="H399" s="447"/>
    </row>
    <row r="400" spans="1:10" ht="15.75" customHeight="1">
      <c r="A400" s="498"/>
      <c r="B400" s="740" t="s">
        <v>589</v>
      </c>
      <c r="E400" s="334">
        <f>SUM(E392:E399)</f>
        <v>5923000</v>
      </c>
      <c r="F400" s="334">
        <f>SUM(F392:F399)</f>
        <v>5923000</v>
      </c>
      <c r="G400" s="758">
        <f>SUM(G392:G399)</f>
        <v>0</v>
      </c>
      <c r="H400" s="334">
        <f>SUM(H392:H399)</f>
        <v>9223028</v>
      </c>
      <c r="I400" s="334">
        <v>3300000</v>
      </c>
      <c r="J400" s="415">
        <f>SUM(F400:G400)</f>
        <v>5923000</v>
      </c>
    </row>
    <row r="401" spans="1:10" ht="15.75" hidden="1" customHeight="1">
      <c r="A401" s="498"/>
      <c r="B401" s="740"/>
      <c r="F401" s="343"/>
      <c r="G401" s="489"/>
      <c r="H401" s="343"/>
      <c r="J401" s="415"/>
    </row>
    <row r="402" spans="1:10" ht="15.75" hidden="1" customHeight="1">
      <c r="A402" s="498"/>
      <c r="B402" s="740"/>
      <c r="F402" s="343"/>
      <c r="G402" s="489"/>
      <c r="H402" s="343"/>
      <c r="J402" s="415"/>
    </row>
    <row r="403" spans="1:10" ht="39" customHeight="1">
      <c r="A403" s="498"/>
      <c r="B403" s="735"/>
    </row>
    <row r="404" spans="1:10" ht="18" customHeight="1">
      <c r="B404" s="735" t="s">
        <v>590</v>
      </c>
      <c r="C404" s="736"/>
      <c r="D404" s="429"/>
      <c r="E404" s="411"/>
    </row>
    <row r="405" spans="1:10" ht="10.5" customHeight="1">
      <c r="B405" s="735"/>
      <c r="C405" s="736"/>
      <c r="D405" s="429"/>
      <c r="E405" s="411"/>
    </row>
    <row r="406" spans="1:10" ht="15" customHeight="1">
      <c r="B406" s="385" t="s">
        <v>591</v>
      </c>
      <c r="C406" s="739"/>
      <c r="E406" s="415">
        <v>500000</v>
      </c>
      <c r="F406" s="633">
        <v>500000</v>
      </c>
      <c r="G406" s="737"/>
      <c r="H406" s="415">
        <f>SUM(F406:G406)</f>
        <v>500000</v>
      </c>
      <c r="I406" s="633">
        <f>70000+100000</f>
        <v>170000</v>
      </c>
    </row>
    <row r="407" spans="1:10" ht="15" hidden="1" customHeight="1">
      <c r="B407" s="719" t="s">
        <v>592</v>
      </c>
      <c r="C407" s="739"/>
      <c r="E407" s="415">
        <v>2000000</v>
      </c>
      <c r="F407" s="744">
        <v>2000000</v>
      </c>
      <c r="G407" s="737"/>
      <c r="H407" s="415">
        <v>0</v>
      </c>
      <c r="I407" s="633"/>
    </row>
    <row r="408" spans="1:10" ht="15" hidden="1" customHeight="1">
      <c r="B408" s="719" t="s">
        <v>593</v>
      </c>
      <c r="C408" s="739"/>
      <c r="F408" s="744"/>
      <c r="G408" s="737"/>
      <c r="H408" s="415"/>
      <c r="I408" s="633"/>
    </row>
    <row r="409" spans="1:10" ht="15.75" customHeight="1">
      <c r="B409" s="719" t="s">
        <v>594</v>
      </c>
      <c r="E409" s="415">
        <v>5000000</v>
      </c>
      <c r="F409" s="744">
        <v>5000000</v>
      </c>
      <c r="G409" s="737"/>
      <c r="H409" s="415">
        <f t="shared" ref="H409:H415" si="11">SUM(F409:G409)</f>
        <v>5000000</v>
      </c>
      <c r="I409" s="633"/>
    </row>
    <row r="410" spans="1:10" ht="15" customHeight="1">
      <c r="B410" s="746" t="s">
        <v>595</v>
      </c>
      <c r="C410" s="739" t="s">
        <v>409</v>
      </c>
      <c r="E410" s="415">
        <v>180000</v>
      </c>
      <c r="F410" s="430">
        <v>180000</v>
      </c>
      <c r="G410" s="737"/>
      <c r="H410" s="415">
        <f t="shared" si="11"/>
        <v>180000</v>
      </c>
      <c r="I410" s="633"/>
    </row>
    <row r="411" spans="1:10" ht="15.75" hidden="1" customHeight="1">
      <c r="B411" s="759" t="s">
        <v>596</v>
      </c>
      <c r="C411" s="755"/>
      <c r="D411" s="455"/>
      <c r="F411" s="432">
        <v>0</v>
      </c>
      <c r="G411" s="737"/>
      <c r="H411" s="415">
        <f t="shared" si="11"/>
        <v>0</v>
      </c>
      <c r="I411" s="633"/>
    </row>
    <row r="412" spans="1:10" ht="15.75" hidden="1" customHeight="1">
      <c r="B412" s="759" t="s">
        <v>596</v>
      </c>
      <c r="C412" s="739" t="s">
        <v>409</v>
      </c>
      <c r="D412" s="455"/>
      <c r="F412" s="432">
        <v>0</v>
      </c>
      <c r="G412" s="737"/>
      <c r="H412" s="415">
        <f t="shared" si="11"/>
        <v>0</v>
      </c>
      <c r="I412" s="633"/>
    </row>
    <row r="413" spans="1:10" ht="15.75" hidden="1" customHeight="1">
      <c r="B413" s="320" t="s">
        <v>597</v>
      </c>
      <c r="C413" s="755"/>
      <c r="D413" s="433"/>
      <c r="F413" s="744"/>
      <c r="G413" s="737"/>
      <c r="H413" s="415">
        <f t="shared" si="11"/>
        <v>0</v>
      </c>
      <c r="I413" s="633"/>
    </row>
    <row r="414" spans="1:10" ht="30.75" hidden="1" customHeight="1">
      <c r="B414" s="759" t="s">
        <v>598</v>
      </c>
      <c r="C414" s="755"/>
      <c r="D414" s="433"/>
      <c r="F414" s="744"/>
      <c r="G414" s="737"/>
      <c r="H414" s="415">
        <f t="shared" si="11"/>
        <v>0</v>
      </c>
      <c r="I414" s="633"/>
    </row>
    <row r="415" spans="1:10" ht="15" hidden="1" customHeight="1">
      <c r="B415" s="320" t="s">
        <v>599</v>
      </c>
      <c r="C415" s="755"/>
      <c r="D415" s="433"/>
      <c r="F415" s="744"/>
      <c r="G415" s="737"/>
      <c r="H415" s="415">
        <f t="shared" si="11"/>
        <v>0</v>
      </c>
      <c r="I415" s="633"/>
    </row>
    <row r="416" spans="1:10" ht="29.25" customHeight="1">
      <c r="B416" s="799" t="s">
        <v>600</v>
      </c>
      <c r="C416" s="755"/>
      <c r="D416" s="433"/>
      <c r="F416" s="744"/>
      <c r="G416" s="737"/>
      <c r="H416" s="415">
        <v>17173000</v>
      </c>
      <c r="I416" s="633">
        <f>17173000-4116623</f>
        <v>13056377</v>
      </c>
    </row>
    <row r="417" spans="2:9" ht="30" hidden="1" customHeight="1">
      <c r="C417" s="755"/>
      <c r="D417" s="433"/>
      <c r="F417" s="744"/>
      <c r="G417" s="737"/>
      <c r="H417" s="415">
        <f t="shared" ref="H417:H441" si="12">SUM(F417:G417)</f>
        <v>0</v>
      </c>
      <c r="I417" s="633"/>
    </row>
    <row r="418" spans="2:9" ht="13.5" hidden="1" customHeight="1">
      <c r="B418" s="774"/>
      <c r="C418" s="755"/>
      <c r="D418" s="433"/>
      <c r="E418" s="445"/>
      <c r="F418" s="744"/>
      <c r="G418" s="737"/>
      <c r="H418" s="415">
        <f t="shared" si="12"/>
        <v>0</v>
      </c>
      <c r="I418" s="633"/>
    </row>
    <row r="419" spans="2:9" ht="16.5" hidden="1" customHeight="1">
      <c r="B419" s="789"/>
      <c r="C419" s="755"/>
      <c r="D419" s="433"/>
      <c r="E419" s="445"/>
      <c r="F419" s="744"/>
      <c r="G419" s="737"/>
      <c r="H419" s="415">
        <f t="shared" si="12"/>
        <v>0</v>
      </c>
      <c r="I419" s="633"/>
    </row>
    <row r="420" spans="2:9" ht="15" hidden="1" customHeight="1">
      <c r="B420" s="774"/>
      <c r="C420" s="755"/>
      <c r="D420" s="433"/>
      <c r="E420" s="445"/>
      <c r="F420" s="744"/>
      <c r="G420" s="737"/>
      <c r="H420" s="415">
        <f t="shared" si="12"/>
        <v>0</v>
      </c>
      <c r="I420" s="633"/>
    </row>
    <row r="421" spans="2:9" ht="15" hidden="1" customHeight="1">
      <c r="B421" s="774"/>
      <c r="C421" s="531"/>
      <c r="D421" s="433"/>
      <c r="E421" s="445"/>
      <c r="F421" s="744"/>
      <c r="G421" s="737"/>
      <c r="H421" s="415">
        <f t="shared" si="12"/>
        <v>0</v>
      </c>
      <c r="I421" s="633"/>
    </row>
    <row r="422" spans="2:9" ht="15" hidden="1" customHeight="1">
      <c r="B422" s="774"/>
      <c r="C422" s="531"/>
      <c r="D422" s="433"/>
      <c r="E422" s="445"/>
      <c r="F422" s="744"/>
      <c r="G422" s="737"/>
      <c r="H422" s="415">
        <f t="shared" si="12"/>
        <v>0</v>
      </c>
      <c r="I422" s="633"/>
    </row>
    <row r="423" spans="2:9" ht="15" hidden="1" customHeight="1">
      <c r="B423" s="774"/>
      <c r="C423" s="531"/>
      <c r="D423" s="455"/>
      <c r="E423" s="432"/>
      <c r="F423" s="744"/>
      <c r="G423" s="737"/>
      <c r="H423" s="415">
        <f t="shared" si="12"/>
        <v>0</v>
      </c>
      <c r="I423" s="633"/>
    </row>
    <row r="424" spans="2:9" ht="15" hidden="1" customHeight="1">
      <c r="B424" s="774"/>
      <c r="C424" s="755"/>
      <c r="D424" s="455"/>
      <c r="E424" s="432"/>
      <c r="F424" s="432"/>
      <c r="G424" s="737"/>
      <c r="H424" s="415">
        <f t="shared" si="12"/>
        <v>0</v>
      </c>
      <c r="I424" s="633"/>
    </row>
    <row r="425" spans="2:9" ht="15" hidden="1" customHeight="1">
      <c r="B425" s="775"/>
      <c r="C425" s="755"/>
      <c r="D425" s="455"/>
      <c r="E425" s="432"/>
      <c r="F425" s="432"/>
      <c r="G425" s="737"/>
      <c r="H425" s="415">
        <f t="shared" si="12"/>
        <v>0</v>
      </c>
      <c r="I425" s="633"/>
    </row>
    <row r="426" spans="2:9" ht="15" hidden="1" customHeight="1">
      <c r="B426" s="775" t="s">
        <v>601</v>
      </c>
      <c r="C426" s="800">
        <f>SUM(H427:H433)</f>
        <v>0</v>
      </c>
      <c r="D426" s="455"/>
      <c r="E426" s="432"/>
      <c r="F426" s="432"/>
      <c r="G426" s="744"/>
      <c r="H426" s="415">
        <f t="shared" si="12"/>
        <v>0</v>
      </c>
      <c r="I426" s="633"/>
    </row>
    <row r="427" spans="2:9" ht="15" hidden="1" customHeight="1">
      <c r="B427" s="774" t="s">
        <v>602</v>
      </c>
      <c r="C427" s="531"/>
      <c r="D427" s="455"/>
      <c r="E427" s="432"/>
      <c r="F427" s="432"/>
      <c r="G427" s="737"/>
      <c r="H427" s="415">
        <f t="shared" si="12"/>
        <v>0</v>
      </c>
      <c r="I427" s="633"/>
    </row>
    <row r="428" spans="2:9" ht="15" hidden="1" customHeight="1">
      <c r="B428" s="789" t="s">
        <v>603</v>
      </c>
      <c r="C428" s="531"/>
      <c r="D428" s="455"/>
      <c r="E428" s="432"/>
      <c r="F428" s="432"/>
      <c r="G428" s="737"/>
      <c r="H428" s="415">
        <f t="shared" si="12"/>
        <v>0</v>
      </c>
      <c r="I428" s="633"/>
    </row>
    <row r="429" spans="2:9" ht="15" hidden="1" customHeight="1">
      <c r="B429" s="774" t="s">
        <v>604</v>
      </c>
      <c r="C429" s="531"/>
      <c r="D429" s="455"/>
      <c r="E429" s="432"/>
      <c r="F429" s="432"/>
      <c r="G429" s="737"/>
      <c r="H429" s="415">
        <f t="shared" si="12"/>
        <v>0</v>
      </c>
      <c r="I429" s="633"/>
    </row>
    <row r="430" spans="2:9" ht="15" hidden="1" customHeight="1">
      <c r="B430" s="774" t="s">
        <v>471</v>
      </c>
      <c r="C430" s="531"/>
      <c r="D430" s="455"/>
      <c r="E430" s="432"/>
      <c r="F430" s="432"/>
      <c r="G430" s="737"/>
      <c r="H430" s="415">
        <f t="shared" si="12"/>
        <v>0</v>
      </c>
      <c r="I430" s="633"/>
    </row>
    <row r="431" spans="2:9" ht="15" hidden="1" customHeight="1">
      <c r="B431" s="774" t="s">
        <v>605</v>
      </c>
      <c r="C431" s="531"/>
      <c r="D431" s="455"/>
      <c r="E431" s="432"/>
      <c r="F431" s="432"/>
      <c r="G431" s="737"/>
      <c r="H431" s="415">
        <f t="shared" si="12"/>
        <v>0</v>
      </c>
      <c r="I431" s="633"/>
    </row>
    <row r="432" spans="2:9" ht="15" hidden="1" customHeight="1">
      <c r="B432" s="774" t="s">
        <v>606</v>
      </c>
      <c r="C432" s="531"/>
      <c r="D432" s="455"/>
      <c r="E432" s="432"/>
      <c r="F432" s="432"/>
      <c r="G432" s="737"/>
      <c r="H432" s="415">
        <f t="shared" si="12"/>
        <v>0</v>
      </c>
      <c r="I432" s="633"/>
    </row>
    <row r="433" spans="2:9" ht="15" hidden="1" customHeight="1">
      <c r="B433" s="774" t="s">
        <v>602</v>
      </c>
      <c r="C433" s="531"/>
      <c r="D433" s="455"/>
      <c r="E433" s="432"/>
      <c r="F433" s="432"/>
      <c r="G433" s="737"/>
      <c r="H433" s="415">
        <f t="shared" si="12"/>
        <v>0</v>
      </c>
      <c r="I433" s="633"/>
    </row>
    <row r="434" spans="2:9" ht="15" hidden="1" customHeight="1">
      <c r="B434" s="775" t="s">
        <v>607</v>
      </c>
      <c r="C434" s="800">
        <f>SUM(H435:H441)</f>
        <v>0</v>
      </c>
      <c r="D434" s="455"/>
      <c r="E434" s="432"/>
      <c r="F434" s="432"/>
      <c r="G434" s="744"/>
      <c r="H434" s="415">
        <f t="shared" si="12"/>
        <v>0</v>
      </c>
      <c r="I434" s="633"/>
    </row>
    <row r="435" spans="2:9" ht="15" hidden="1" customHeight="1">
      <c r="B435" s="774" t="s">
        <v>602</v>
      </c>
      <c r="C435" s="531"/>
      <c r="D435" s="455"/>
      <c r="E435" s="432"/>
      <c r="F435" s="432"/>
      <c r="G435" s="737"/>
      <c r="H435" s="415">
        <f t="shared" si="12"/>
        <v>0</v>
      </c>
      <c r="I435" s="633"/>
    </row>
    <row r="436" spans="2:9" ht="15" hidden="1" customHeight="1">
      <c r="B436" s="789" t="s">
        <v>603</v>
      </c>
      <c r="C436" s="531"/>
      <c r="D436" s="455"/>
      <c r="E436" s="432"/>
      <c r="F436" s="432"/>
      <c r="G436" s="737"/>
      <c r="H436" s="415">
        <f t="shared" si="12"/>
        <v>0</v>
      </c>
      <c r="I436" s="633"/>
    </row>
    <row r="437" spans="2:9" ht="15" hidden="1" customHeight="1">
      <c r="B437" s="774" t="s">
        <v>471</v>
      </c>
      <c r="C437" s="531"/>
      <c r="D437" s="455"/>
      <c r="E437" s="432"/>
      <c r="F437" s="432"/>
      <c r="G437" s="737"/>
      <c r="H437" s="415">
        <f t="shared" si="12"/>
        <v>0</v>
      </c>
      <c r="I437" s="633"/>
    </row>
    <row r="438" spans="2:9" ht="15" hidden="1" customHeight="1">
      <c r="B438" s="774" t="s">
        <v>605</v>
      </c>
      <c r="C438" s="531"/>
      <c r="D438" s="455"/>
      <c r="E438" s="432"/>
      <c r="F438" s="432"/>
      <c r="G438" s="737"/>
      <c r="H438" s="415">
        <f t="shared" si="12"/>
        <v>0</v>
      </c>
      <c r="I438" s="633"/>
    </row>
    <row r="439" spans="2:9" ht="15" hidden="1" customHeight="1">
      <c r="B439" s="774" t="s">
        <v>606</v>
      </c>
      <c r="C439" s="531"/>
      <c r="D439" s="455"/>
      <c r="E439" s="432"/>
      <c r="F439" s="432"/>
      <c r="G439" s="737"/>
      <c r="H439" s="415">
        <f t="shared" si="12"/>
        <v>0</v>
      </c>
      <c r="I439" s="633"/>
    </row>
    <row r="440" spans="2:9" ht="15" hidden="1" customHeight="1">
      <c r="B440" s="774" t="s">
        <v>602</v>
      </c>
      <c r="C440" s="531"/>
      <c r="D440" s="455"/>
      <c r="E440" s="432"/>
      <c r="F440" s="432"/>
      <c r="G440" s="737"/>
      <c r="H440" s="415">
        <f t="shared" si="12"/>
        <v>0</v>
      </c>
      <c r="I440" s="633"/>
    </row>
    <row r="441" spans="2:9" ht="15" hidden="1" customHeight="1">
      <c r="B441" s="774"/>
      <c r="C441" s="531"/>
      <c r="D441" s="455"/>
      <c r="E441" s="432"/>
      <c r="F441" s="432"/>
      <c r="G441" s="737"/>
      <c r="H441" s="415">
        <f t="shared" si="12"/>
        <v>0</v>
      </c>
      <c r="I441" s="633"/>
    </row>
    <row r="442" spans="2:9" ht="19.5" customHeight="1">
      <c r="B442" s="801" t="s">
        <v>608</v>
      </c>
      <c r="C442" s="800">
        <f>SUM(H443:H465)</f>
        <v>26000000</v>
      </c>
      <c r="D442" s="429"/>
      <c r="E442" s="411"/>
      <c r="F442" s="630"/>
      <c r="G442" s="744"/>
      <c r="H442" s="415"/>
      <c r="I442" s="633"/>
    </row>
    <row r="443" spans="2:9" ht="15" hidden="1" customHeight="1">
      <c r="B443" s="789" t="s">
        <v>609</v>
      </c>
      <c r="C443" s="755"/>
      <c r="D443" s="455"/>
      <c r="E443" s="432"/>
      <c r="F443" s="432"/>
      <c r="G443" s="737"/>
      <c r="H443" s="415">
        <f>SUM(F443:G443)</f>
        <v>0</v>
      </c>
      <c r="I443" s="633"/>
    </row>
    <row r="444" spans="2:9" ht="15" hidden="1" customHeight="1">
      <c r="B444" s="789" t="s">
        <v>487</v>
      </c>
      <c r="C444" s="755"/>
      <c r="D444" s="455"/>
      <c r="E444" s="432"/>
      <c r="F444" s="432"/>
      <c r="G444" s="737"/>
      <c r="H444" s="415">
        <f>SUM(F444:G444)</f>
        <v>0</v>
      </c>
      <c r="I444" s="633"/>
    </row>
    <row r="445" spans="2:9" ht="15" customHeight="1">
      <c r="B445" s="789" t="s">
        <v>610</v>
      </c>
      <c r="C445" s="755"/>
      <c r="D445" s="455"/>
      <c r="F445" s="432"/>
      <c r="G445" s="737"/>
      <c r="H445" s="415">
        <v>2500000</v>
      </c>
      <c r="I445" s="633">
        <v>2500000</v>
      </c>
    </row>
    <row r="446" spans="2:9" ht="15" hidden="1" customHeight="1">
      <c r="B446" s="789" t="s">
        <v>489</v>
      </c>
      <c r="C446" s="755"/>
      <c r="D446" s="455"/>
      <c r="F446" s="432"/>
      <c r="G446" s="737"/>
      <c r="H446" s="415">
        <f t="shared" ref="H446:H459" si="13">SUM(F446:G446)</f>
        <v>0</v>
      </c>
      <c r="I446" s="633"/>
    </row>
    <row r="447" spans="2:9" ht="15" hidden="1" customHeight="1">
      <c r="B447" s="789" t="s">
        <v>490</v>
      </c>
      <c r="C447" s="755"/>
      <c r="D447" s="455"/>
      <c r="F447" s="432"/>
      <c r="G447" s="737"/>
      <c r="H447" s="415">
        <f t="shared" si="13"/>
        <v>0</v>
      </c>
      <c r="I447" s="633"/>
    </row>
    <row r="448" spans="2:9" ht="15" hidden="1" customHeight="1">
      <c r="B448" s="789" t="s">
        <v>611</v>
      </c>
      <c r="C448" s="755"/>
      <c r="D448" s="455"/>
      <c r="F448" s="432"/>
      <c r="G448" s="737"/>
      <c r="H448" s="415">
        <f t="shared" si="13"/>
        <v>0</v>
      </c>
      <c r="I448" s="633"/>
    </row>
    <row r="449" spans="2:9" ht="15" hidden="1" customHeight="1">
      <c r="B449" s="789" t="s">
        <v>612</v>
      </c>
      <c r="C449" s="755"/>
      <c r="D449" s="455"/>
      <c r="F449" s="432"/>
      <c r="G449" s="737"/>
      <c r="H449" s="415">
        <f t="shared" si="13"/>
        <v>0</v>
      </c>
      <c r="I449" s="633"/>
    </row>
    <row r="450" spans="2:9" ht="15" hidden="1" customHeight="1">
      <c r="B450" s="789" t="s">
        <v>492</v>
      </c>
      <c r="C450" s="755"/>
      <c r="D450" s="455"/>
      <c r="F450" s="432"/>
      <c r="G450" s="737"/>
      <c r="H450" s="415">
        <f t="shared" si="13"/>
        <v>0</v>
      </c>
      <c r="I450" s="633"/>
    </row>
    <row r="451" spans="2:9" ht="15" hidden="1" customHeight="1">
      <c r="B451" s="789" t="s">
        <v>613</v>
      </c>
      <c r="C451" s="755"/>
      <c r="D451" s="455"/>
      <c r="F451" s="432"/>
      <c r="G451" s="737"/>
      <c r="H451" s="415">
        <f t="shared" si="13"/>
        <v>0</v>
      </c>
      <c r="I451" s="633"/>
    </row>
    <row r="452" spans="2:9" ht="15" hidden="1" customHeight="1">
      <c r="B452" s="789" t="s">
        <v>497</v>
      </c>
      <c r="C452" s="755"/>
      <c r="D452" s="455"/>
      <c r="F452" s="432"/>
      <c r="G452" s="737"/>
      <c r="H452" s="415">
        <f t="shared" si="13"/>
        <v>0</v>
      </c>
      <c r="I452" s="633"/>
    </row>
    <row r="453" spans="2:9" ht="15" hidden="1" customHeight="1">
      <c r="B453" s="789" t="s">
        <v>498</v>
      </c>
      <c r="C453" s="755"/>
      <c r="D453" s="455"/>
      <c r="F453" s="432"/>
      <c r="G453" s="737"/>
      <c r="H453" s="415">
        <f t="shared" si="13"/>
        <v>0</v>
      </c>
      <c r="I453" s="633"/>
    </row>
    <row r="454" spans="2:9" ht="15" hidden="1" customHeight="1">
      <c r="B454" s="789" t="s">
        <v>614</v>
      </c>
      <c r="C454" s="755"/>
      <c r="D454" s="455"/>
      <c r="F454" s="432"/>
      <c r="G454" s="737"/>
      <c r="H454" s="415">
        <f t="shared" si="13"/>
        <v>0</v>
      </c>
      <c r="I454" s="633"/>
    </row>
    <row r="455" spans="2:9" ht="15" hidden="1" customHeight="1">
      <c r="B455" s="789" t="s">
        <v>615</v>
      </c>
      <c r="C455" s="755"/>
      <c r="D455" s="455"/>
      <c r="F455" s="432"/>
      <c r="G455" s="737"/>
      <c r="H455" s="415">
        <f t="shared" si="13"/>
        <v>0</v>
      </c>
      <c r="I455" s="633"/>
    </row>
    <row r="456" spans="2:9" ht="15" hidden="1" customHeight="1">
      <c r="B456" s="789" t="s">
        <v>616</v>
      </c>
      <c r="C456" s="755"/>
      <c r="D456" s="455"/>
      <c r="F456" s="432"/>
      <c r="G456" s="737"/>
      <c r="H456" s="415">
        <f t="shared" si="13"/>
        <v>0</v>
      </c>
      <c r="I456" s="633"/>
    </row>
    <row r="457" spans="2:9" ht="15" hidden="1" customHeight="1">
      <c r="B457" s="789" t="s">
        <v>503</v>
      </c>
      <c r="C457" s="755"/>
      <c r="D457" s="455"/>
      <c r="F457" s="432"/>
      <c r="G457" s="737"/>
      <c r="H457" s="415">
        <f t="shared" si="13"/>
        <v>0</v>
      </c>
      <c r="I457" s="633"/>
    </row>
    <row r="458" spans="2:9" ht="15" hidden="1" customHeight="1">
      <c r="B458" s="789" t="s">
        <v>617</v>
      </c>
      <c r="C458" s="755"/>
      <c r="D458" s="455"/>
      <c r="F458" s="432"/>
      <c r="G458" s="737"/>
      <c r="H458" s="415">
        <f t="shared" si="13"/>
        <v>0</v>
      </c>
      <c r="I458" s="633"/>
    </row>
    <row r="459" spans="2:9" ht="15" hidden="1" customHeight="1">
      <c r="B459" s="789" t="s">
        <v>504</v>
      </c>
      <c r="C459" s="755"/>
      <c r="D459" s="455"/>
      <c r="F459" s="432"/>
      <c r="G459" s="737"/>
      <c r="H459" s="415">
        <f t="shared" si="13"/>
        <v>0</v>
      </c>
      <c r="I459" s="633"/>
    </row>
    <row r="460" spans="2:9" ht="15" customHeight="1">
      <c r="B460" s="789" t="s">
        <v>505</v>
      </c>
      <c r="C460" s="755"/>
      <c r="D460" s="455"/>
      <c r="F460" s="432"/>
      <c r="G460" s="737"/>
      <c r="H460" s="415">
        <v>3500000</v>
      </c>
      <c r="I460" s="633">
        <v>3500000</v>
      </c>
    </row>
    <row r="461" spans="2:9" ht="15" hidden="1" customHeight="1">
      <c r="B461" s="789" t="s">
        <v>506</v>
      </c>
      <c r="C461" s="755"/>
      <c r="D461" s="455"/>
      <c r="F461" s="432"/>
      <c r="G461" s="737"/>
      <c r="H461" s="415">
        <f>SUM(F461:G461)</f>
        <v>0</v>
      </c>
      <c r="I461" s="633"/>
    </row>
    <row r="462" spans="2:9" ht="15" hidden="1" customHeight="1">
      <c r="B462" s="774" t="s">
        <v>507</v>
      </c>
      <c r="C462" s="755"/>
      <c r="D462" s="455"/>
      <c r="F462" s="432"/>
      <c r="G462" s="737"/>
      <c r="H462" s="415">
        <f>SUM(F462:G462)</f>
        <v>0</v>
      </c>
      <c r="I462" s="633"/>
    </row>
    <row r="463" spans="2:9" ht="15" hidden="1" customHeight="1">
      <c r="B463" s="789" t="s">
        <v>618</v>
      </c>
      <c r="C463" s="755"/>
      <c r="D463" s="455"/>
      <c r="F463" s="432"/>
      <c r="G463" s="737"/>
      <c r="H463" s="415">
        <f>SUM(F463:G463)</f>
        <v>0</v>
      </c>
      <c r="I463" s="633"/>
    </row>
    <row r="464" spans="2:9" ht="15" customHeight="1">
      <c r="B464" s="789" t="s">
        <v>508</v>
      </c>
      <c r="C464" s="755"/>
      <c r="D464" s="455"/>
      <c r="F464" s="432"/>
      <c r="G464" s="737"/>
      <c r="H464" s="415">
        <v>20000000</v>
      </c>
      <c r="I464" s="633">
        <v>20000000</v>
      </c>
    </row>
    <row r="465" spans="2:9" ht="17.25" customHeight="1">
      <c r="B465" s="801" t="s">
        <v>619</v>
      </c>
      <c r="C465" s="800">
        <f>SUM(H466:H493)</f>
        <v>19200000</v>
      </c>
      <c r="D465" s="455"/>
      <c r="E465" s="432"/>
      <c r="F465" s="432"/>
      <c r="G465" s="744"/>
      <c r="H465" s="633"/>
      <c r="I465" s="633"/>
    </row>
    <row r="466" spans="2:9" ht="15" hidden="1" customHeight="1">
      <c r="B466" s="789" t="s">
        <v>609</v>
      </c>
      <c r="C466" s="755"/>
      <c r="D466" s="455"/>
      <c r="E466" s="432"/>
      <c r="F466" s="432"/>
      <c r="G466" s="737"/>
      <c r="H466" s="415">
        <f t="shared" ref="H466:H484" si="14">SUM(F466:G466)</f>
        <v>0</v>
      </c>
      <c r="I466" s="633"/>
    </row>
    <row r="467" spans="2:9" ht="15" hidden="1" customHeight="1">
      <c r="B467" s="789" t="s">
        <v>487</v>
      </c>
      <c r="C467" s="755"/>
      <c r="D467" s="455"/>
      <c r="E467" s="432"/>
      <c r="F467" s="432"/>
      <c r="G467" s="737"/>
      <c r="H467" s="415">
        <f t="shared" si="14"/>
        <v>0</v>
      </c>
      <c r="I467" s="633"/>
    </row>
    <row r="468" spans="2:9" ht="15" hidden="1" customHeight="1">
      <c r="B468" s="789" t="s">
        <v>610</v>
      </c>
      <c r="C468" s="755"/>
      <c r="D468" s="455"/>
      <c r="E468" s="432"/>
      <c r="F468" s="432"/>
      <c r="G468" s="737"/>
      <c r="H468" s="415">
        <f t="shared" si="14"/>
        <v>0</v>
      </c>
      <c r="I468" s="633"/>
    </row>
    <row r="469" spans="2:9" ht="15" hidden="1" customHeight="1">
      <c r="B469" s="789" t="s">
        <v>489</v>
      </c>
      <c r="C469" s="755"/>
      <c r="D469" s="455"/>
      <c r="E469" s="432"/>
      <c r="F469" s="432"/>
      <c r="G469" s="737"/>
      <c r="H469" s="415">
        <f t="shared" si="14"/>
        <v>0</v>
      </c>
      <c r="I469" s="633"/>
    </row>
    <row r="470" spans="2:9" ht="15" hidden="1" customHeight="1">
      <c r="B470" s="789" t="s">
        <v>490</v>
      </c>
      <c r="C470" s="755"/>
      <c r="D470" s="455"/>
      <c r="E470" s="432"/>
      <c r="F470" s="432"/>
      <c r="G470" s="737"/>
      <c r="H470" s="415">
        <f t="shared" si="14"/>
        <v>0</v>
      </c>
      <c r="I470" s="633"/>
    </row>
    <row r="471" spans="2:9" ht="15" hidden="1" customHeight="1">
      <c r="B471" s="789" t="s">
        <v>611</v>
      </c>
      <c r="C471" s="755"/>
      <c r="D471" s="455"/>
      <c r="E471" s="432"/>
      <c r="F471" s="432"/>
      <c r="G471" s="737"/>
      <c r="H471" s="415">
        <f t="shared" si="14"/>
        <v>0</v>
      </c>
      <c r="I471" s="633"/>
    </row>
    <row r="472" spans="2:9" ht="15" hidden="1" customHeight="1">
      <c r="B472" s="789" t="s">
        <v>612</v>
      </c>
      <c r="C472" s="755"/>
      <c r="D472" s="455"/>
      <c r="E472" s="432"/>
      <c r="F472" s="432"/>
      <c r="G472" s="737"/>
      <c r="H472" s="415">
        <f t="shared" si="14"/>
        <v>0</v>
      </c>
      <c r="I472" s="633"/>
    </row>
    <row r="473" spans="2:9" ht="15" hidden="1" customHeight="1">
      <c r="B473" s="789" t="s">
        <v>492</v>
      </c>
      <c r="C473" s="755"/>
      <c r="D473" s="455"/>
      <c r="F473" s="432"/>
      <c r="G473" s="737"/>
      <c r="H473" s="415">
        <f t="shared" si="14"/>
        <v>0</v>
      </c>
      <c r="I473" s="633"/>
    </row>
    <row r="474" spans="2:9" ht="15" hidden="1" customHeight="1">
      <c r="B474" s="789" t="s">
        <v>613</v>
      </c>
      <c r="C474" s="755"/>
      <c r="D474" s="455"/>
      <c r="F474" s="432"/>
      <c r="G474" s="737"/>
      <c r="H474" s="415">
        <f t="shared" si="14"/>
        <v>0</v>
      </c>
      <c r="I474" s="633"/>
    </row>
    <row r="475" spans="2:9" ht="15" hidden="1" customHeight="1">
      <c r="B475" s="789" t="s">
        <v>497</v>
      </c>
      <c r="C475" s="755"/>
      <c r="D475" s="455"/>
      <c r="F475" s="432"/>
      <c r="G475" s="737"/>
      <c r="H475" s="415">
        <f t="shared" si="14"/>
        <v>0</v>
      </c>
      <c r="I475" s="633"/>
    </row>
    <row r="476" spans="2:9" ht="15" hidden="1" customHeight="1">
      <c r="B476" s="789" t="s">
        <v>498</v>
      </c>
      <c r="C476" s="755"/>
      <c r="D476" s="455"/>
      <c r="F476" s="432"/>
      <c r="G476" s="737"/>
      <c r="H476" s="415">
        <f t="shared" si="14"/>
        <v>0</v>
      </c>
      <c r="I476" s="633"/>
    </row>
    <row r="477" spans="2:9" ht="15" hidden="1" customHeight="1">
      <c r="B477" s="789" t="s">
        <v>614</v>
      </c>
      <c r="C477" s="755"/>
      <c r="D477" s="455"/>
      <c r="F477" s="432"/>
      <c r="G477" s="737"/>
      <c r="H477" s="415">
        <f t="shared" si="14"/>
        <v>0</v>
      </c>
      <c r="I477" s="633"/>
    </row>
    <row r="478" spans="2:9" ht="15" hidden="1" customHeight="1">
      <c r="B478" s="789" t="s">
        <v>615</v>
      </c>
      <c r="C478" s="755"/>
      <c r="D478" s="455"/>
      <c r="F478" s="432"/>
      <c r="G478" s="737"/>
      <c r="H478" s="415">
        <f t="shared" si="14"/>
        <v>0</v>
      </c>
      <c r="I478" s="633"/>
    </row>
    <row r="479" spans="2:9" ht="15" hidden="1" customHeight="1">
      <c r="B479" s="789" t="s">
        <v>616</v>
      </c>
      <c r="C479" s="755"/>
      <c r="D479" s="455"/>
      <c r="F479" s="432"/>
      <c r="G479" s="737"/>
      <c r="H479" s="415">
        <f t="shared" si="14"/>
        <v>0</v>
      </c>
      <c r="I479" s="633"/>
    </row>
    <row r="480" spans="2:9" ht="15" hidden="1" customHeight="1">
      <c r="B480" s="789" t="s">
        <v>503</v>
      </c>
      <c r="C480" s="755"/>
      <c r="D480" s="455"/>
      <c r="F480" s="432"/>
      <c r="G480" s="737"/>
      <c r="H480" s="415">
        <f t="shared" si="14"/>
        <v>0</v>
      </c>
      <c r="I480" s="633"/>
    </row>
    <row r="481" spans="2:9" ht="15" hidden="1" customHeight="1">
      <c r="B481" s="789" t="s">
        <v>617</v>
      </c>
      <c r="C481" s="755"/>
      <c r="D481" s="455"/>
      <c r="F481" s="432"/>
      <c r="G481" s="737"/>
      <c r="H481" s="415">
        <f t="shared" si="14"/>
        <v>0</v>
      </c>
      <c r="I481" s="633"/>
    </row>
    <row r="482" spans="2:9" ht="15" hidden="1" customHeight="1">
      <c r="B482" s="789" t="s">
        <v>504</v>
      </c>
      <c r="C482" s="755"/>
      <c r="D482" s="455"/>
      <c r="F482" s="432"/>
      <c r="G482" s="737"/>
      <c r="H482" s="415">
        <f t="shared" si="14"/>
        <v>0</v>
      </c>
      <c r="I482" s="633"/>
    </row>
    <row r="483" spans="2:9" ht="15" hidden="1" customHeight="1">
      <c r="B483" s="789" t="s">
        <v>505</v>
      </c>
      <c r="C483" s="755"/>
      <c r="D483" s="455"/>
      <c r="F483" s="432"/>
      <c r="G483" s="737"/>
      <c r="H483" s="415">
        <f t="shared" si="14"/>
        <v>0</v>
      </c>
      <c r="I483" s="633"/>
    </row>
    <row r="484" spans="2:9" ht="15" hidden="1" customHeight="1">
      <c r="B484" s="789" t="s">
        <v>506</v>
      </c>
      <c r="C484" s="755"/>
      <c r="D484" s="455"/>
      <c r="F484" s="432"/>
      <c r="G484" s="737"/>
      <c r="H484" s="415">
        <f t="shared" si="14"/>
        <v>0</v>
      </c>
      <c r="I484" s="633"/>
    </row>
    <row r="485" spans="2:9" ht="15" customHeight="1">
      <c r="B485" s="789" t="s">
        <v>620</v>
      </c>
      <c r="C485" s="755"/>
      <c r="D485" s="455"/>
      <c r="F485" s="432"/>
      <c r="G485" s="737"/>
      <c r="H485" s="415">
        <v>4000000</v>
      </c>
      <c r="I485" s="633">
        <v>4000000</v>
      </c>
    </row>
    <row r="486" spans="2:9" ht="15" customHeight="1">
      <c r="B486" s="789" t="s">
        <v>621</v>
      </c>
      <c r="C486" s="755"/>
      <c r="D486" s="455"/>
      <c r="F486" s="432"/>
      <c r="G486" s="737"/>
      <c r="H486" s="415">
        <v>1500000</v>
      </c>
      <c r="I486" s="633">
        <v>1500000</v>
      </c>
    </row>
    <row r="487" spans="2:9" ht="15" customHeight="1">
      <c r="B487" s="789" t="s">
        <v>613</v>
      </c>
      <c r="C487" s="755"/>
      <c r="D487" s="455"/>
      <c r="F487" s="432"/>
      <c r="G487" s="737"/>
      <c r="H487" s="415">
        <v>2000000</v>
      </c>
      <c r="I487" s="633">
        <v>2000000</v>
      </c>
    </row>
    <row r="488" spans="2:9" ht="15" customHeight="1">
      <c r="B488" s="789" t="s">
        <v>501</v>
      </c>
      <c r="C488" s="755"/>
      <c r="D488" s="455"/>
      <c r="F488" s="432"/>
      <c r="G488" s="737"/>
      <c r="H488" s="415">
        <v>1000000</v>
      </c>
      <c r="I488" s="633">
        <v>1000000</v>
      </c>
    </row>
    <row r="489" spans="2:9" ht="14.25" customHeight="1">
      <c r="B489" s="789" t="s">
        <v>504</v>
      </c>
      <c r="C489" s="755"/>
      <c r="D489" s="455"/>
      <c r="F489" s="432"/>
      <c r="G489" s="737"/>
      <c r="H489" s="415">
        <v>500000</v>
      </c>
      <c r="I489" s="633">
        <v>500000</v>
      </c>
    </row>
    <row r="490" spans="2:9" ht="14.25" customHeight="1">
      <c r="B490" s="789" t="s">
        <v>506</v>
      </c>
      <c r="C490" s="755"/>
      <c r="D490" s="455"/>
      <c r="F490" s="432"/>
      <c r="G490" s="737"/>
      <c r="H490" s="415">
        <v>5000000</v>
      </c>
      <c r="I490" s="633">
        <v>5000000</v>
      </c>
    </row>
    <row r="491" spans="2:9" ht="14.25" customHeight="1">
      <c r="B491" s="774" t="s">
        <v>507</v>
      </c>
      <c r="C491" s="755"/>
      <c r="D491" s="455"/>
      <c r="F491" s="432">
        <v>4000000</v>
      </c>
      <c r="G491" s="737">
        <v>1200000</v>
      </c>
      <c r="H491" s="415">
        <f>SUM(F491:G491)</f>
        <v>5200000</v>
      </c>
      <c r="I491" s="633">
        <v>5200000</v>
      </c>
    </row>
    <row r="492" spans="2:9" ht="15" hidden="1" customHeight="1">
      <c r="B492" s="789" t="s">
        <v>618</v>
      </c>
      <c r="C492" s="739"/>
      <c r="D492" s="455"/>
      <c r="E492" s="432"/>
      <c r="F492" s="432"/>
      <c r="G492" s="737"/>
      <c r="H492" s="415">
        <f>SUM(F492:G492)</f>
        <v>0</v>
      </c>
      <c r="I492" s="633"/>
    </row>
    <row r="493" spans="2:9" ht="15.75" hidden="1" customHeight="1">
      <c r="B493" s="789" t="s">
        <v>508</v>
      </c>
      <c r="C493" s="531"/>
      <c r="D493" s="455"/>
      <c r="E493" s="432"/>
      <c r="F493" s="447"/>
      <c r="G493" s="737"/>
      <c r="H493" s="415">
        <f>SUM(F493:G493)</f>
        <v>0</v>
      </c>
    </row>
    <row r="494" spans="2:9" ht="15.75" customHeight="1">
      <c r="B494" s="801" t="s">
        <v>513</v>
      </c>
      <c r="C494" s="800">
        <f>SUM(H495:H497)</f>
        <v>13750000</v>
      </c>
      <c r="D494" s="455"/>
      <c r="E494" s="432"/>
      <c r="F494" s="435"/>
      <c r="G494" s="744"/>
      <c r="H494" s="633"/>
    </row>
    <row r="495" spans="2:9" ht="15.75" customHeight="1">
      <c r="B495" s="797" t="s">
        <v>578</v>
      </c>
      <c r="C495" s="531"/>
      <c r="D495" s="455"/>
      <c r="E495" s="415">
        <v>3000000</v>
      </c>
      <c r="F495" s="445">
        <v>3000000</v>
      </c>
      <c r="G495" s="737"/>
      <c r="H495" s="415">
        <v>4150000</v>
      </c>
      <c r="I495" s="633">
        <v>4150000</v>
      </c>
    </row>
    <row r="496" spans="2:9" ht="15.75" customHeight="1">
      <c r="B496" s="802" t="s">
        <v>622</v>
      </c>
      <c r="C496" s="531"/>
      <c r="D496" s="455"/>
      <c r="E496" s="432"/>
      <c r="F496" s="445">
        <v>0</v>
      </c>
      <c r="G496" s="737">
        <v>9600000</v>
      </c>
      <c r="H496" s="415">
        <f>SUM(F496:G496)</f>
        <v>9600000</v>
      </c>
    </row>
    <row r="497" spans="1:11" ht="15.75" hidden="1" customHeight="1">
      <c r="B497" s="789"/>
      <c r="C497" s="531"/>
      <c r="D497" s="455"/>
      <c r="E497" s="432"/>
      <c r="F497" s="447"/>
      <c r="G497" s="737"/>
      <c r="H497" s="415">
        <f>SUM(F497:G497)</f>
        <v>0</v>
      </c>
    </row>
    <row r="498" spans="1:11" ht="15.75" customHeight="1">
      <c r="B498" s="789"/>
      <c r="C498" s="531"/>
      <c r="D498" s="455"/>
      <c r="E498" s="432"/>
      <c r="F498" s="447"/>
      <c r="G498" s="332"/>
      <c r="H498" s="447"/>
    </row>
    <row r="499" spans="1:11" ht="20.25" customHeight="1">
      <c r="B499" s="740" t="s">
        <v>623</v>
      </c>
      <c r="C499" s="741"/>
      <c r="D499" s="742"/>
      <c r="E499" s="334">
        <f>SUM(E406:E496)</f>
        <v>10680000</v>
      </c>
      <c r="F499" s="334">
        <f>SUM(F406:F498)</f>
        <v>14680000</v>
      </c>
      <c r="G499" s="328">
        <f>SUM(G406:G498)</f>
        <v>10800000</v>
      </c>
      <c r="H499" s="329">
        <f>SUM(H406:H498)</f>
        <v>81803000</v>
      </c>
      <c r="I499" s="329">
        <f>SUM(I406:I498)</f>
        <v>62576377</v>
      </c>
      <c r="J499" s="415">
        <f>SUM(F499:G499)</f>
        <v>25480000</v>
      </c>
    </row>
    <row r="500" spans="1:11" ht="18" customHeight="1">
      <c r="B500" s="734"/>
      <c r="C500" s="755"/>
      <c r="D500" s="434"/>
      <c r="I500" s="297"/>
    </row>
    <row r="501" spans="1:11" ht="18.75" customHeight="1">
      <c r="B501" s="803" t="s">
        <v>624</v>
      </c>
      <c r="C501" s="755" t="s">
        <v>380</v>
      </c>
      <c r="D501" s="762"/>
      <c r="E501" s="763">
        <f>SUM(E400+E499)</f>
        <v>16603000</v>
      </c>
      <c r="F501" s="763">
        <f>SUM(F400+F499)</f>
        <v>20603000</v>
      </c>
      <c r="G501" s="764">
        <f>SUM(G400+G499)</f>
        <v>10800000</v>
      </c>
      <c r="H501" s="763">
        <f>SUM(H400+H499)</f>
        <v>91026028</v>
      </c>
      <c r="I501" s="763">
        <f>SUM(I400+I499)</f>
        <v>65876377</v>
      </c>
      <c r="J501" s="415">
        <f>SUM(F501:G501)</f>
        <v>31403000</v>
      </c>
    </row>
    <row r="502" spans="1:11" ht="16.5" customHeight="1">
      <c r="B502" s="765"/>
      <c r="C502" s="755"/>
      <c r="D502" s="762"/>
      <c r="E502" s="447"/>
      <c r="F502" s="447"/>
      <c r="G502" s="447"/>
      <c r="H502" s="447"/>
      <c r="I502" s="447"/>
    </row>
    <row r="503" spans="1:11" ht="19.5" customHeight="1">
      <c r="B503" s="804" t="s">
        <v>625</v>
      </c>
      <c r="C503" s="755" t="s">
        <v>626</v>
      </c>
      <c r="D503" s="498"/>
      <c r="E503" s="766">
        <f>SUM(E387+E501)</f>
        <v>275881000</v>
      </c>
      <c r="F503" s="766">
        <f>SUM(F387+F501)</f>
        <v>312219848</v>
      </c>
      <c r="G503" s="685">
        <f>SUM(G387+G501)</f>
        <v>38624966</v>
      </c>
      <c r="H503" s="766">
        <f>SUM(H387+H501)</f>
        <v>420076655</v>
      </c>
      <c r="I503" s="766">
        <f>SUM(I387+I501)</f>
        <v>389680745</v>
      </c>
      <c r="J503" s="415">
        <f>SUM(F503:G503)</f>
        <v>350844814</v>
      </c>
    </row>
    <row r="504" spans="1:11" ht="9" customHeight="1"/>
    <row r="505" spans="1:11" ht="7.5" hidden="1" customHeight="1"/>
    <row r="506" spans="1:11" ht="17.25" customHeight="1">
      <c r="A506" s="630"/>
      <c r="B506" s="805" t="s">
        <v>627</v>
      </c>
      <c r="C506" s="768"/>
      <c r="D506" s="806"/>
      <c r="E506" s="807"/>
      <c r="F506" s="630"/>
      <c r="G506" s="630"/>
      <c r="H506" s="630"/>
      <c r="J506" s="415"/>
    </row>
    <row r="507" spans="1:11" s="630" customFormat="1" ht="12" customHeight="1">
      <c r="B507" s="805"/>
      <c r="C507" s="768"/>
      <c r="D507" s="806"/>
      <c r="E507" s="807"/>
      <c r="J507" s="633"/>
    </row>
    <row r="508" spans="1:11" ht="16.5" customHeight="1">
      <c r="B508" s="788" t="s">
        <v>628</v>
      </c>
      <c r="C508" s="755"/>
      <c r="D508" s="733"/>
      <c r="E508" s="808">
        <f>SUM(E54+E146+E387)</f>
        <v>259278000</v>
      </c>
      <c r="F508" s="447">
        <f>SUM(F54+F146+F387)</f>
        <v>343874724</v>
      </c>
      <c r="G508" s="447">
        <f>SUM(G54+G146+G387)</f>
        <v>27824966</v>
      </c>
      <c r="H508" s="447">
        <f>SUM(H54+H146+H387+H384)</f>
        <v>428097823</v>
      </c>
      <c r="I508" s="447">
        <f>SUM(I54+I146+I387)</f>
        <v>377168783</v>
      </c>
      <c r="J508" s="447">
        <f>SUM(J54+J146+J387)</f>
        <v>371699690</v>
      </c>
      <c r="K508" s="447">
        <f>SUM(K54+K146+K387)</f>
        <v>0</v>
      </c>
    </row>
    <row r="509" spans="1:11" ht="16.5" customHeight="1">
      <c r="B509" s="788" t="s">
        <v>629</v>
      </c>
      <c r="C509" s="755"/>
      <c r="D509" s="733"/>
      <c r="E509" s="808">
        <f>SUM(E79+E166+E501)</f>
        <v>16603000</v>
      </c>
      <c r="F509" s="447">
        <f>SUM(F79+F166+F501)</f>
        <v>20603000</v>
      </c>
      <c r="G509" s="447">
        <f>SUM(G79+G166+G501)</f>
        <v>10800000</v>
      </c>
      <c r="H509" s="447">
        <f>SUM(H79+H166+H501)</f>
        <v>91026028</v>
      </c>
      <c r="I509" s="809">
        <f>SUM(I79+I166+I501)</f>
        <v>65876377</v>
      </c>
      <c r="J509" s="415">
        <f>SUM(F509:G509)</f>
        <v>31403000</v>
      </c>
    </row>
    <row r="510" spans="1:11" ht="8.25" customHeight="1">
      <c r="B510" s="788"/>
      <c r="C510" s="755"/>
      <c r="D510" s="755"/>
      <c r="E510" s="800"/>
      <c r="F510" s="435"/>
      <c r="G510" s="435"/>
      <c r="H510" s="810"/>
      <c r="J510" s="415"/>
    </row>
    <row r="511" spans="1:11" ht="19.5" customHeight="1">
      <c r="A511" s="811"/>
      <c r="B511" s="722" t="s">
        <v>308</v>
      </c>
      <c r="C511" s="608"/>
      <c r="D511" s="608"/>
      <c r="E511" s="812">
        <f>SUM(E508:E509)</f>
        <v>275881000</v>
      </c>
      <c r="F511" s="812">
        <f>SUM(F508:F509)</f>
        <v>364477724</v>
      </c>
      <c r="G511" s="812">
        <f>SUM(G508:G509)</f>
        <v>38624966</v>
      </c>
      <c r="H511" s="813">
        <f>SUM(H508:H509)</f>
        <v>519123851</v>
      </c>
      <c r="I511" s="812">
        <f>SUM(I508:I509)</f>
        <v>443045160</v>
      </c>
      <c r="J511" s="415">
        <f>SUM(F511:G511)</f>
        <v>403102690</v>
      </c>
    </row>
    <row r="512" spans="1:11" ht="15" hidden="1" customHeight="1">
      <c r="B512" s="765"/>
      <c r="C512" s="755"/>
      <c r="D512" s="733"/>
      <c r="E512" s="808"/>
      <c r="F512" s="447"/>
      <c r="G512" s="435"/>
      <c r="H512" s="447"/>
    </row>
    <row r="513" spans="2:10" ht="15" hidden="1" customHeight="1">
      <c r="B513" s="765"/>
      <c r="C513" s="755"/>
      <c r="D513" s="733"/>
      <c r="E513" s="808"/>
      <c r="F513" s="447"/>
      <c r="G513" s="435"/>
      <c r="H513" s="447"/>
    </row>
    <row r="514" spans="2:10" ht="12" customHeight="1">
      <c r="B514" s="765"/>
      <c r="C514" s="755"/>
      <c r="D514" s="733"/>
      <c r="E514" s="808"/>
      <c r="F514" s="447"/>
      <c r="G514" s="435"/>
      <c r="H514" s="447"/>
    </row>
    <row r="515" spans="2:10" ht="15" customHeight="1">
      <c r="B515" s="784" t="s">
        <v>630</v>
      </c>
      <c r="C515" s="814"/>
      <c r="D515" s="815"/>
      <c r="E515" s="816"/>
      <c r="F515" s="415"/>
      <c r="I515" s="633"/>
    </row>
    <row r="516" spans="2:10" ht="6" customHeight="1">
      <c r="B516" s="784"/>
      <c r="C516" s="814"/>
      <c r="D516" s="815"/>
      <c r="E516" s="816"/>
    </row>
    <row r="517" spans="2:10" ht="15" customHeight="1">
      <c r="B517" s="817" t="s">
        <v>631</v>
      </c>
      <c r="C517" s="739"/>
      <c r="D517" s="818"/>
      <c r="E517" s="819"/>
    </row>
    <row r="518" spans="2:10" ht="12.75" hidden="1" customHeight="1">
      <c r="B518" s="817"/>
      <c r="C518" s="739"/>
      <c r="D518" s="818"/>
      <c r="E518" s="819"/>
    </row>
    <row r="519" spans="2:10" ht="15" hidden="1" customHeight="1">
      <c r="B519" s="817" t="s">
        <v>632</v>
      </c>
      <c r="C519" s="739"/>
      <c r="D519" s="818"/>
      <c r="E519" s="819"/>
    </row>
    <row r="520" spans="2:10" ht="12.75" hidden="1" customHeight="1">
      <c r="F520" s="415"/>
      <c r="G520" s="737"/>
      <c r="H520" s="297">
        <f>SUM(F520:G520)</f>
        <v>0</v>
      </c>
    </row>
    <row r="521" spans="2:10" ht="11.25" hidden="1" customHeight="1">
      <c r="B521" s="775"/>
      <c r="C521" s="739"/>
      <c r="D521" s="498"/>
      <c r="E521" s="519"/>
    </row>
    <row r="522" spans="2:10" ht="15.75" hidden="1" customHeight="1">
      <c r="B522" s="820" t="s">
        <v>633</v>
      </c>
      <c r="C522" s="739"/>
      <c r="D522" s="818"/>
      <c r="E522" s="819"/>
      <c r="F522" s="763">
        <f>SUM(F520:F521)</f>
        <v>0</v>
      </c>
      <c r="G522" s="685">
        <f>SUM(G520:G521)</f>
        <v>0</v>
      </c>
      <c r="H522" s="763">
        <f>SUM(H520:H521)</f>
        <v>0</v>
      </c>
      <c r="J522" s="415">
        <f>SUM(F522:G522)</f>
        <v>0</v>
      </c>
    </row>
    <row r="523" spans="2:10" ht="15.75" hidden="1" customHeight="1">
      <c r="B523" s="817"/>
      <c r="C523" s="739"/>
      <c r="D523" s="818"/>
      <c r="E523" s="819"/>
      <c r="F523" s="447"/>
      <c r="G523" s="435"/>
      <c r="H523" s="447"/>
      <c r="J523" s="415"/>
    </row>
    <row r="524" spans="2:10" ht="15" customHeight="1">
      <c r="B524" s="817" t="s">
        <v>634</v>
      </c>
      <c r="C524" s="739"/>
      <c r="D524" s="818"/>
      <c r="E524" s="819"/>
    </row>
    <row r="525" spans="2:10" ht="15" hidden="1" customHeight="1">
      <c r="B525" s="817"/>
      <c r="C525" s="739"/>
      <c r="D525" s="818"/>
      <c r="E525" s="819"/>
    </row>
    <row r="526" spans="2:10" ht="15.75" customHeight="1">
      <c r="B526" s="719" t="s">
        <v>635</v>
      </c>
      <c r="E526" s="415">
        <v>2000000</v>
      </c>
      <c r="F526" s="821">
        <v>2000000</v>
      </c>
      <c r="G526" s="737"/>
      <c r="H526" s="822">
        <f>SUM(F526:G526)</f>
        <v>2000000</v>
      </c>
      <c r="I526" s="633"/>
    </row>
    <row r="527" spans="2:10" ht="13.5" customHeight="1">
      <c r="B527" s="775"/>
      <c r="C527" s="739"/>
      <c r="D527" s="498"/>
      <c r="E527" s="519"/>
    </row>
    <row r="528" spans="2:10" ht="15.75" customHeight="1">
      <c r="B528" s="820" t="s">
        <v>636</v>
      </c>
      <c r="C528" s="739"/>
      <c r="D528" s="818"/>
      <c r="E528" s="763">
        <f>SUM(E526:E527)</f>
        <v>2000000</v>
      </c>
      <c r="F528" s="763">
        <f>SUM(F526:F527)</f>
        <v>2000000</v>
      </c>
      <c r="G528" s="685">
        <f>SUM(G526:G527)</f>
        <v>0</v>
      </c>
      <c r="H528" s="763">
        <f>SUM(H526:H527)</f>
        <v>2000000</v>
      </c>
      <c r="I528" s="763">
        <f>SUM(I526:I527)</f>
        <v>0</v>
      </c>
      <c r="J528" s="415">
        <f>SUM(F528:G528)</f>
        <v>2000000</v>
      </c>
    </row>
    <row r="529" spans="2:10" ht="15.75" hidden="1" customHeight="1">
      <c r="B529" s="817"/>
      <c r="C529" s="739"/>
      <c r="D529" s="818"/>
      <c r="E529" s="447"/>
      <c r="F529" s="447"/>
      <c r="G529" s="435"/>
      <c r="H529" s="447"/>
      <c r="I529" s="447"/>
      <c r="J529" s="415"/>
    </row>
    <row r="530" spans="2:10" ht="8.25" customHeight="1">
      <c r="B530" s="817"/>
      <c r="C530" s="739"/>
      <c r="D530" s="818"/>
      <c r="E530" s="819"/>
      <c r="F530" s="447"/>
      <c r="G530" s="435"/>
      <c r="H530" s="447"/>
      <c r="J530" s="415"/>
    </row>
    <row r="531" spans="2:10" ht="17.25" customHeight="1">
      <c r="B531" s="344" t="s">
        <v>637</v>
      </c>
      <c r="C531" s="755" t="s">
        <v>380</v>
      </c>
      <c r="D531" s="818"/>
      <c r="E531" s="812">
        <f>SUM(E522+E528)</f>
        <v>2000000</v>
      </c>
      <c r="F531" s="823">
        <f>SUM(F522+F528)</f>
        <v>2000000</v>
      </c>
      <c r="G531" s="824">
        <f>SUM(G522+G528)</f>
        <v>0</v>
      </c>
      <c r="H531" s="825">
        <f>SUM(F531:G531)</f>
        <v>2000000</v>
      </c>
      <c r="I531" s="826">
        <f>SUM(I522+I528)</f>
        <v>0</v>
      </c>
      <c r="J531" s="415"/>
    </row>
    <row r="532" spans="2:10" ht="9.75" customHeight="1">
      <c r="B532" s="817"/>
      <c r="C532" s="739"/>
      <c r="D532" s="818"/>
      <c r="E532" s="819"/>
      <c r="F532" s="447"/>
      <c r="G532" s="435"/>
      <c r="H532" s="447"/>
      <c r="J532" s="415"/>
    </row>
    <row r="533" spans="2:10" ht="14.25" customHeight="1">
      <c r="B533" s="817" t="s">
        <v>638</v>
      </c>
      <c r="C533" s="739"/>
      <c r="D533" s="818"/>
      <c r="E533" s="819"/>
      <c r="F533" s="447"/>
      <c r="G533" s="435"/>
      <c r="H533" s="447"/>
      <c r="J533" s="415"/>
    </row>
    <row r="534" spans="2:10" ht="7.5" customHeight="1">
      <c r="B534" s="817"/>
      <c r="C534" s="739"/>
      <c r="D534" s="818"/>
      <c r="E534" s="819"/>
      <c r="F534" s="447"/>
      <c r="G534" s="435"/>
      <c r="H534" s="447"/>
      <c r="J534" s="415"/>
    </row>
    <row r="535" spans="2:10" ht="17.25" hidden="1" customHeight="1">
      <c r="B535" s="817" t="s">
        <v>639</v>
      </c>
      <c r="C535" s="739"/>
      <c r="D535" s="818"/>
      <c r="E535" s="819"/>
    </row>
    <row r="536" spans="2:10" ht="15" hidden="1" customHeight="1">
      <c r="B536" s="746"/>
      <c r="C536" s="739"/>
      <c r="F536" s="827"/>
      <c r="G536" s="737"/>
      <c r="H536" s="415">
        <f>F536+G536</f>
        <v>0</v>
      </c>
    </row>
    <row r="537" spans="2:10" ht="16.5" hidden="1" customHeight="1">
      <c r="B537" s="828"/>
      <c r="C537" s="739"/>
      <c r="F537" s="827"/>
      <c r="G537" s="444"/>
      <c r="H537" s="415">
        <f>F537+G537</f>
        <v>0</v>
      </c>
    </row>
    <row r="538" spans="2:10" ht="15.75" hidden="1" customHeight="1">
      <c r="B538" s="828"/>
      <c r="C538" s="739"/>
      <c r="F538" s="827"/>
      <c r="G538" s="444"/>
      <c r="H538" s="415">
        <f>F538+G538</f>
        <v>0</v>
      </c>
    </row>
    <row r="539" spans="2:10" ht="14.25" hidden="1" customHeight="1">
      <c r="B539" s="828"/>
      <c r="C539" s="739"/>
      <c r="F539" s="827"/>
      <c r="G539" s="444"/>
      <c r="H539" s="415">
        <f>F539+G539</f>
        <v>0</v>
      </c>
    </row>
    <row r="540" spans="2:10" ht="15" hidden="1" customHeight="1">
      <c r="B540" s="828"/>
      <c r="C540" s="739"/>
      <c r="F540" s="827"/>
      <c r="G540" s="444"/>
      <c r="H540" s="415">
        <f>F540+G540</f>
        <v>0</v>
      </c>
    </row>
    <row r="541" spans="2:10" ht="11.25" hidden="1" customHeight="1">
      <c r="F541" s="827"/>
      <c r="G541" s="430"/>
      <c r="H541" s="415"/>
    </row>
    <row r="542" spans="2:10" ht="15" hidden="1" customHeight="1">
      <c r="B542" s="820" t="s">
        <v>640</v>
      </c>
      <c r="C542" s="739"/>
      <c r="D542" s="818"/>
      <c r="E542" s="819"/>
      <c r="F542" s="763">
        <f>SUM(F536:F541)</f>
        <v>0</v>
      </c>
      <c r="G542" s="764">
        <f>SUM(G536:G541)</f>
        <v>0</v>
      </c>
      <c r="H542" s="638">
        <f>SUM(H536:H541)</f>
        <v>0</v>
      </c>
      <c r="I542" s="633"/>
      <c r="J542" s="415">
        <f>SUM(F542:G542)</f>
        <v>0</v>
      </c>
    </row>
    <row r="543" spans="2:10" ht="13.5" hidden="1" customHeight="1"/>
    <row r="544" spans="2:10" ht="17.25" customHeight="1">
      <c r="B544" s="817" t="s">
        <v>641</v>
      </c>
      <c r="C544" s="739"/>
      <c r="D544" s="818"/>
      <c r="E544" s="819"/>
    </row>
    <row r="545" spans="2:10" ht="15" customHeight="1">
      <c r="B545" s="746" t="s">
        <v>642</v>
      </c>
      <c r="C545" s="739"/>
      <c r="E545" s="415">
        <v>10000000</v>
      </c>
      <c r="F545" s="430">
        <v>10000000</v>
      </c>
      <c r="G545" s="737"/>
      <c r="H545" s="415">
        <f>F545+G545</f>
        <v>10000000</v>
      </c>
      <c r="I545" s="633"/>
    </row>
    <row r="546" spans="2:10" ht="15" hidden="1" customHeight="1">
      <c r="B546" s="746" t="s">
        <v>595</v>
      </c>
      <c r="C546" s="739"/>
      <c r="E546" s="415">
        <v>0</v>
      </c>
      <c r="F546" s="430"/>
      <c r="G546" s="737"/>
      <c r="H546" s="415">
        <f>F546+G546</f>
        <v>0</v>
      </c>
      <c r="I546" s="633"/>
    </row>
    <row r="547" spans="2:10" ht="15.75" customHeight="1">
      <c r="B547" s="828" t="s">
        <v>643</v>
      </c>
      <c r="C547" s="739"/>
      <c r="E547" s="415">
        <v>62500000</v>
      </c>
      <c r="F547" s="430">
        <v>62500000</v>
      </c>
      <c r="G547" s="444"/>
      <c r="H547" s="415">
        <v>42500040</v>
      </c>
      <c r="I547" s="633">
        <f>27960166-2500000-700000-1235000</f>
        <v>23525166</v>
      </c>
    </row>
    <row r="548" spans="2:10" ht="14.25" customHeight="1">
      <c r="B548" s="828" t="s">
        <v>644</v>
      </c>
      <c r="C548" s="739" t="s">
        <v>409</v>
      </c>
      <c r="E548" s="415">
        <v>30472000</v>
      </c>
      <c r="F548" s="430">
        <v>30472000</v>
      </c>
      <c r="G548" s="444"/>
      <c r="H548" s="415">
        <v>30472000</v>
      </c>
      <c r="I548" s="633">
        <f>19029000+2500000+700000+1235000</f>
        <v>23464000</v>
      </c>
    </row>
    <row r="549" spans="2:10" ht="15" customHeight="1">
      <c r="B549" s="828" t="s">
        <v>645</v>
      </c>
      <c r="C549" s="739"/>
      <c r="E549" s="415">
        <v>10000000</v>
      </c>
      <c r="F549" s="430">
        <v>10000000</v>
      </c>
      <c r="G549" s="444"/>
      <c r="H549" s="415">
        <f>F549+G549</f>
        <v>10000000</v>
      </c>
      <c r="I549" s="633">
        <v>4555000</v>
      </c>
    </row>
    <row r="550" spans="2:10" ht="10.5" customHeight="1">
      <c r="F550" s="827"/>
      <c r="G550" s="430"/>
      <c r="H550" s="415"/>
    </row>
    <row r="551" spans="2:10" ht="15" customHeight="1">
      <c r="B551" s="820" t="s">
        <v>646</v>
      </c>
      <c r="C551" s="739"/>
      <c r="D551" s="818"/>
      <c r="E551" s="638">
        <f>SUM(E545:E550)</f>
        <v>112972000</v>
      </c>
      <c r="F551" s="763">
        <f>SUM(F545:F550)</f>
        <v>112972000</v>
      </c>
      <c r="G551" s="764">
        <f>SUM(G545:G550)</f>
        <v>0</v>
      </c>
      <c r="H551" s="638">
        <f>SUM(H545:H550)</f>
        <v>92972040</v>
      </c>
      <c r="I551" s="638">
        <f>SUM(I545:I550)</f>
        <v>51544166</v>
      </c>
      <c r="J551" s="415">
        <f>SUM(F551:G551)</f>
        <v>112972000</v>
      </c>
    </row>
    <row r="552" spans="2:10" ht="10.5" customHeight="1">
      <c r="B552" s="817"/>
      <c r="C552" s="739"/>
      <c r="D552" s="818"/>
      <c r="E552" s="819"/>
      <c r="F552" s="447"/>
      <c r="G552" s="435"/>
      <c r="H552" s="435"/>
      <c r="I552" s="633"/>
      <c r="J552" s="415"/>
    </row>
    <row r="553" spans="2:10" ht="15" customHeight="1">
      <c r="B553" s="381" t="s">
        <v>647</v>
      </c>
      <c r="C553" s="755" t="s">
        <v>380</v>
      </c>
      <c r="D553" s="829"/>
      <c r="E553" s="619">
        <f>SUM(E542+E551)</f>
        <v>112972000</v>
      </c>
      <c r="F553" s="619">
        <f>SUM(F542+F551)</f>
        <v>112972000</v>
      </c>
      <c r="G553" s="619">
        <f>SUM(G542+G551)</f>
        <v>0</v>
      </c>
      <c r="H553" s="830">
        <f>F42+H551</f>
        <v>92972040</v>
      </c>
      <c r="I553" s="831">
        <f>SUM(I542+I551)</f>
        <v>51544166</v>
      </c>
      <c r="J553" s="415"/>
    </row>
    <row r="554" spans="2:10" ht="12" customHeight="1">
      <c r="B554" s="817"/>
      <c r="C554" s="739"/>
      <c r="D554" s="818"/>
      <c r="E554" s="819"/>
      <c r="F554" s="447"/>
      <c r="G554" s="435"/>
      <c r="H554" s="435"/>
      <c r="I554" s="633"/>
      <c r="J554" s="415"/>
    </row>
    <row r="555" spans="2:10" ht="15.75" customHeight="1">
      <c r="B555" s="817" t="s">
        <v>648</v>
      </c>
      <c r="C555" s="739"/>
      <c r="D555" s="818"/>
      <c r="E555" s="819"/>
      <c r="F555" s="447"/>
      <c r="G555" s="435"/>
      <c r="H555" s="435"/>
      <c r="I555" s="633"/>
      <c r="J555" s="415"/>
    </row>
    <row r="556" spans="2:10" ht="16.5" customHeight="1">
      <c r="B556" s="719" t="s">
        <v>649</v>
      </c>
      <c r="E556" s="415">
        <v>4000000</v>
      </c>
      <c r="F556" s="744">
        <v>4000000</v>
      </c>
      <c r="G556" s="444"/>
      <c r="H556" s="415">
        <f>F556+G556</f>
        <v>4000000</v>
      </c>
      <c r="I556" s="633"/>
    </row>
    <row r="557" spans="2:10" ht="16.5" customHeight="1">
      <c r="B557" s="719" t="s">
        <v>650</v>
      </c>
      <c r="E557" s="415">
        <v>5000000</v>
      </c>
      <c r="F557" s="744">
        <v>5000000</v>
      </c>
      <c r="G557" s="444"/>
      <c r="H557" s="415">
        <f>F557+G557</f>
        <v>5000000</v>
      </c>
      <c r="I557" s="633">
        <v>1080000</v>
      </c>
    </row>
    <row r="558" spans="2:10" ht="16.5" hidden="1" customHeight="1">
      <c r="B558" s="719" t="s">
        <v>650</v>
      </c>
      <c r="C558" s="755" t="s">
        <v>409</v>
      </c>
      <c r="D558" s="433"/>
      <c r="E558" s="445"/>
      <c r="F558" s="744"/>
      <c r="G558" s="444"/>
      <c r="H558" s="415"/>
      <c r="I558" s="633"/>
    </row>
    <row r="559" spans="2:10" ht="32.25" hidden="1" customHeight="1">
      <c r="B559" s="719" t="s">
        <v>651</v>
      </c>
      <c r="C559" s="755" t="s">
        <v>409</v>
      </c>
      <c r="F559" s="744"/>
      <c r="G559" s="444"/>
      <c r="H559" s="415"/>
      <c r="I559" s="633"/>
    </row>
    <row r="560" spans="2:10" ht="9" customHeight="1">
      <c r="B560" s="817"/>
      <c r="C560" s="739"/>
      <c r="D560" s="818"/>
      <c r="E560" s="819"/>
      <c r="F560" s="447"/>
      <c r="G560" s="435"/>
      <c r="H560" s="435"/>
      <c r="I560" s="633"/>
      <c r="J560" s="415"/>
    </row>
    <row r="561" spans="2:10" ht="17.25" customHeight="1">
      <c r="B561" s="820" t="s">
        <v>652</v>
      </c>
      <c r="C561" s="739"/>
      <c r="D561" s="818"/>
      <c r="E561" s="763">
        <f>SUM(E556:E559)</f>
        <v>9000000</v>
      </c>
      <c r="F561" s="763">
        <f>SUM(F556:F559)</f>
        <v>9000000</v>
      </c>
      <c r="G561" s="764">
        <f>SUM(G556:G559)</f>
        <v>0</v>
      </c>
      <c r="H561" s="638">
        <f>SUM(H556:H559)</f>
        <v>9000000</v>
      </c>
      <c r="I561" s="638">
        <f>SUM(I556:I559)</f>
        <v>1080000</v>
      </c>
      <c r="J561" s="415">
        <f>SUM(F561:G561)</f>
        <v>9000000</v>
      </c>
    </row>
  </sheetData>
  <sheetProtection selectLockedCells="1" selectUnlockedCells="1"/>
  <mergeCells count="1">
    <mergeCell ref="A1:I1"/>
  </mergeCells>
  <printOptions horizontalCentered="1"/>
  <pageMargins left="0.70866141732283472" right="0.31496062992125984" top="0.55118110236220474" bottom="0.51181102362204722" header="0.27559055118110237" footer="0.23622047244094491"/>
  <pageSetup paperSize="9" scale="72" firstPageNumber="0" orientation="portrait" horizontalDpi="300" verticalDpi="300" r:id="rId1"/>
  <headerFooter alignWithMargins="0">
    <oddHeader>&amp;R&amp;8 3.1. m. a 2016. évi költségvetésről szóló 5/2016. (II.29.) önkormányzati rendelet végrehajtásáról szóló 11/2017. (V.3.) önkormányzati rendelethez</oddHeader>
    <oddFooter>&amp;C&amp;P. oldal</oddFooter>
  </headerFooter>
  <rowBreaks count="2" manualBreakCount="2">
    <brk id="299" max="8" man="1"/>
    <brk id="402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J154"/>
  <sheetViews>
    <sheetView view="pageBreakPreview" topLeftCell="A2" zoomScaleSheetLayoutView="100" workbookViewId="0">
      <pane xSplit="2" ySplit="5" topLeftCell="O7" activePane="bottomRight" state="frozen"/>
      <selection activeCell="A2" sqref="A2"/>
      <selection pane="topRight" activeCell="E2" sqref="E2"/>
      <selection pane="bottomLeft" activeCell="A23" sqref="A23"/>
      <selection pane="bottomRight" activeCell="U36" sqref="U36"/>
    </sheetView>
  </sheetViews>
  <sheetFormatPr defaultRowHeight="15"/>
  <cols>
    <col min="1" max="1" width="51.42578125" style="293" customWidth="1"/>
    <col min="2" max="2" width="14.28515625" style="293" customWidth="1"/>
    <col min="3" max="4" width="0" style="293" hidden="1" customWidth="1"/>
    <col min="5" max="5" width="14.28515625" style="634" customWidth="1"/>
    <col min="6" max="7" width="14.28515625" style="293" customWidth="1"/>
    <col min="8" max="9" width="0" style="293" hidden="1" customWidth="1"/>
    <col min="10" max="10" width="14.28515625" style="634" customWidth="1"/>
    <col min="11" max="12" width="14.28515625" style="293" customWidth="1"/>
    <col min="13" max="14" width="0" style="293" hidden="1" customWidth="1"/>
    <col min="15" max="15" width="14.28515625" style="634" customWidth="1"/>
    <col min="16" max="17" width="14.28515625" style="293" customWidth="1"/>
    <col min="18" max="19" width="0" style="293" hidden="1" customWidth="1"/>
    <col min="20" max="20" width="14.28515625" style="634" customWidth="1"/>
    <col min="21" max="22" width="14.28515625" style="293" customWidth="1"/>
    <col min="23" max="23" width="0" style="634" hidden="1" customWidth="1"/>
    <col min="24" max="24" width="0" style="293" hidden="1" customWidth="1"/>
    <col min="25" max="25" width="14.28515625" style="634" customWidth="1"/>
    <col min="26" max="27" width="14.28515625" style="293" customWidth="1"/>
    <col min="28" max="28" width="0" style="634" hidden="1" customWidth="1"/>
    <col min="29" max="29" width="0" style="293" hidden="1" customWidth="1"/>
    <col min="30" max="30" width="14.28515625" style="634" customWidth="1"/>
    <col min="31" max="32" width="14.28515625" style="293" customWidth="1"/>
    <col min="33" max="33" width="0" style="634" hidden="1" customWidth="1"/>
    <col min="34" max="34" width="0" style="293" hidden="1" customWidth="1"/>
    <col min="35" max="35" width="14.28515625" style="634" customWidth="1"/>
    <col min="36" max="37" width="14.28515625" style="293" customWidth="1"/>
    <col min="38" max="38" width="0" style="634" hidden="1" customWidth="1"/>
    <col min="39" max="39" width="0" style="293" hidden="1" customWidth="1"/>
    <col min="40" max="40" width="14.28515625" style="634" customWidth="1"/>
    <col min="41" max="42" width="14.28515625" style="293" customWidth="1"/>
    <col min="43" max="43" width="0" style="634" hidden="1" customWidth="1"/>
    <col min="44" max="44" width="0" style="293" hidden="1" customWidth="1"/>
    <col min="45" max="45" width="14.28515625" style="634" customWidth="1"/>
    <col min="46" max="47" width="14.28515625" style="293" customWidth="1"/>
    <col min="48" max="48" width="0" style="634" hidden="1" customWidth="1"/>
    <col min="49" max="49" width="0" style="293" hidden="1" customWidth="1"/>
    <col min="50" max="50" width="14.28515625" style="634" customWidth="1"/>
    <col min="51" max="52" width="14.28515625" style="293" customWidth="1"/>
    <col min="53" max="53" width="0" style="634" hidden="1" customWidth="1"/>
    <col min="54" max="54" width="0" style="293" hidden="1" customWidth="1"/>
    <col min="55" max="55" width="14.28515625" style="634" customWidth="1"/>
    <col min="56" max="57" width="14.28515625" style="293" customWidth="1"/>
    <col min="58" max="58" width="0" style="634" hidden="1" customWidth="1"/>
    <col min="59" max="59" width="0" style="293" hidden="1" customWidth="1"/>
    <col min="60" max="60" width="14.28515625" style="634" customWidth="1"/>
    <col min="61" max="62" width="14.28515625" style="293" customWidth="1"/>
    <col min="63" max="63" width="0" style="634" hidden="1" customWidth="1"/>
    <col min="64" max="64" width="0" style="293" hidden="1" customWidth="1"/>
    <col min="65" max="65" width="14.28515625" style="634" customWidth="1"/>
    <col min="66" max="67" width="14.28515625" style="293" customWidth="1"/>
    <col min="68" max="68" width="0" style="634" hidden="1" customWidth="1"/>
    <col min="69" max="69" width="0" style="293" hidden="1" customWidth="1"/>
    <col min="70" max="70" width="14.28515625" style="634" customWidth="1"/>
    <col min="71" max="72" width="14.28515625" style="293" customWidth="1"/>
    <col min="73" max="73" width="0" style="634" hidden="1" customWidth="1"/>
    <col min="74" max="74" width="0" style="293" hidden="1" customWidth="1"/>
    <col min="75" max="75" width="14.28515625" style="634" customWidth="1"/>
    <col min="76" max="77" width="14.28515625" style="293" customWidth="1"/>
    <col min="78" max="78" width="0" style="634" hidden="1" customWidth="1"/>
    <col min="79" max="79" width="0" style="293" hidden="1" customWidth="1"/>
    <col min="80" max="80" width="14.28515625" style="634" customWidth="1"/>
    <col min="81" max="81" width="14.28515625" style="293" customWidth="1"/>
    <col min="82" max="82" width="14.28515625" style="832" customWidth="1"/>
    <col min="83" max="84" width="0" style="832" hidden="1" customWidth="1"/>
    <col min="85" max="86" width="14.28515625" style="832" customWidth="1"/>
    <col min="87" max="165" width="9.140625" style="293"/>
    <col min="166" max="166" width="2" style="293" customWidth="1"/>
    <col min="167" max="16384" width="9.140625" style="293"/>
  </cols>
  <sheetData>
    <row r="1" spans="1:94" s="634" customFormat="1" ht="12" hidden="1" customHeight="1">
      <c r="A1" s="833" t="s">
        <v>653</v>
      </c>
      <c r="B1" s="834"/>
      <c r="C1" s="1724">
        <v>1</v>
      </c>
      <c r="D1" s="1724"/>
      <c r="E1" s="1724"/>
      <c r="F1" s="835"/>
      <c r="G1" s="835"/>
      <c r="H1" s="1724">
        <v>2</v>
      </c>
      <c r="I1" s="1724"/>
      <c r="J1" s="1724"/>
      <c r="K1" s="835"/>
      <c r="L1" s="835"/>
      <c r="M1" s="1724">
        <v>3</v>
      </c>
      <c r="N1" s="1724"/>
      <c r="O1" s="1724"/>
      <c r="P1" s="835"/>
      <c r="Q1" s="835"/>
      <c r="R1" s="1724">
        <v>6</v>
      </c>
      <c r="S1" s="1724"/>
      <c r="T1" s="1724"/>
      <c r="U1" s="835"/>
      <c r="V1" s="835"/>
      <c r="W1" s="1724">
        <v>7</v>
      </c>
      <c r="X1" s="1724"/>
      <c r="Y1" s="1724"/>
      <c r="Z1" s="835"/>
      <c r="AA1" s="835"/>
      <c r="AB1" s="1724">
        <v>8</v>
      </c>
      <c r="AC1" s="1724"/>
      <c r="AD1" s="1724"/>
      <c r="AE1" s="835"/>
      <c r="AF1" s="835"/>
      <c r="AG1" s="1724">
        <v>9</v>
      </c>
      <c r="AH1" s="1724"/>
      <c r="AI1" s="1724"/>
      <c r="AJ1" s="835"/>
      <c r="AK1" s="835"/>
      <c r="AL1" s="1724">
        <v>10</v>
      </c>
      <c r="AM1" s="1724"/>
      <c r="AN1" s="1724"/>
      <c r="AO1" s="835"/>
      <c r="AP1" s="835"/>
      <c r="AQ1" s="1724">
        <v>11</v>
      </c>
      <c r="AR1" s="1724"/>
      <c r="AS1" s="1724"/>
      <c r="AT1" s="835"/>
      <c r="AU1" s="835"/>
      <c r="AV1" s="1724">
        <v>12</v>
      </c>
      <c r="AW1" s="1724"/>
      <c r="AX1" s="1724"/>
      <c r="AY1" s="835"/>
      <c r="AZ1" s="835"/>
      <c r="BA1" s="1724">
        <v>13</v>
      </c>
      <c r="BB1" s="1724"/>
      <c r="BC1" s="1724"/>
      <c r="BD1" s="835"/>
      <c r="BE1" s="835"/>
      <c r="BF1" s="1724">
        <v>14</v>
      </c>
      <c r="BG1" s="1724"/>
      <c r="BH1" s="1724"/>
      <c r="BI1" s="835"/>
      <c r="BJ1" s="835"/>
      <c r="BK1" s="1724">
        <v>15</v>
      </c>
      <c r="BL1" s="1724"/>
      <c r="BM1" s="1724"/>
      <c r="BN1" s="835"/>
      <c r="BO1" s="835"/>
      <c r="BP1" s="1724">
        <v>16</v>
      </c>
      <c r="BQ1" s="1724"/>
      <c r="BR1" s="1724"/>
      <c r="BS1" s="835"/>
      <c r="BT1" s="835"/>
      <c r="BU1" s="1724">
        <v>17</v>
      </c>
      <c r="BV1" s="1724"/>
      <c r="BW1" s="1724"/>
      <c r="BX1" s="835"/>
      <c r="BY1" s="835"/>
      <c r="BZ1" s="1724">
        <v>18</v>
      </c>
      <c r="CA1" s="1724"/>
      <c r="CB1" s="1724"/>
      <c r="CC1" s="835"/>
      <c r="CD1" s="836"/>
      <c r="CE1" s="1725">
        <v>19</v>
      </c>
      <c r="CF1" s="1725"/>
      <c r="CG1" s="1725"/>
      <c r="CH1" s="836"/>
    </row>
    <row r="2" spans="1:94" s="839" customFormat="1" ht="42" customHeight="1">
      <c r="A2" s="833" t="s">
        <v>654</v>
      </c>
      <c r="B2" s="1724" t="s">
        <v>190</v>
      </c>
      <c r="C2" s="1724"/>
      <c r="D2" s="1724"/>
      <c r="E2" s="1724"/>
      <c r="F2" s="1724"/>
      <c r="G2" s="1724" t="s">
        <v>166</v>
      </c>
      <c r="H2" s="1724"/>
      <c r="I2" s="1724"/>
      <c r="J2" s="1724"/>
      <c r="K2" s="1724"/>
      <c r="L2" s="1726" t="s">
        <v>228</v>
      </c>
      <c r="M2" s="1726"/>
      <c r="N2" s="1726"/>
      <c r="O2" s="1726"/>
      <c r="P2" s="1726"/>
      <c r="Q2" s="1724" t="s">
        <v>655</v>
      </c>
      <c r="R2" s="1724"/>
      <c r="S2" s="1724"/>
      <c r="T2" s="1724"/>
      <c r="U2" s="1724"/>
      <c r="V2" s="1724" t="s">
        <v>656</v>
      </c>
      <c r="W2" s="1724"/>
      <c r="X2" s="1724"/>
      <c r="Y2" s="1724"/>
      <c r="Z2" s="1724"/>
      <c r="AA2" s="1724" t="s">
        <v>657</v>
      </c>
      <c r="AB2" s="1724"/>
      <c r="AC2" s="1724"/>
      <c r="AD2" s="1724"/>
      <c r="AE2" s="1724"/>
      <c r="AF2" s="1724" t="s">
        <v>296</v>
      </c>
      <c r="AG2" s="1724"/>
      <c r="AH2" s="1724"/>
      <c r="AI2" s="1724"/>
      <c r="AJ2" s="1724"/>
      <c r="AK2" s="1724" t="s">
        <v>395</v>
      </c>
      <c r="AL2" s="1724"/>
      <c r="AM2" s="1724"/>
      <c r="AN2" s="1724"/>
      <c r="AO2" s="1724"/>
      <c r="AP2" s="1724" t="s">
        <v>170</v>
      </c>
      <c r="AQ2" s="1724"/>
      <c r="AR2" s="1724"/>
      <c r="AS2" s="1724"/>
      <c r="AT2" s="1724"/>
      <c r="AU2" s="1724" t="s">
        <v>171</v>
      </c>
      <c r="AV2" s="1724"/>
      <c r="AW2" s="1724"/>
      <c r="AX2" s="1724"/>
      <c r="AY2" s="1724"/>
      <c r="AZ2" s="1724" t="s">
        <v>172</v>
      </c>
      <c r="BA2" s="1724"/>
      <c r="BB2" s="1724"/>
      <c r="BC2" s="1724"/>
      <c r="BD2" s="1724"/>
      <c r="BE2" s="1724" t="s">
        <v>658</v>
      </c>
      <c r="BF2" s="1724"/>
      <c r="BG2" s="1724"/>
      <c r="BH2" s="1724"/>
      <c r="BI2" s="1724"/>
      <c r="BJ2" s="1724" t="s">
        <v>174</v>
      </c>
      <c r="BK2" s="1724"/>
      <c r="BL2" s="1724"/>
      <c r="BM2" s="1724"/>
      <c r="BN2" s="1724"/>
      <c r="BO2" s="1724" t="s">
        <v>175</v>
      </c>
      <c r="BP2" s="1724"/>
      <c r="BQ2" s="1724"/>
      <c r="BR2" s="1724"/>
      <c r="BS2" s="1724"/>
      <c r="BT2" s="1724" t="s">
        <v>176</v>
      </c>
      <c r="BU2" s="1724"/>
      <c r="BV2" s="1724"/>
      <c r="BW2" s="1724"/>
      <c r="BX2" s="1724"/>
      <c r="BY2" s="1724" t="s">
        <v>659</v>
      </c>
      <c r="BZ2" s="1724"/>
      <c r="CA2" s="1724"/>
      <c r="CB2" s="1724"/>
      <c r="CC2" s="1724"/>
      <c r="CD2" s="1728" t="s">
        <v>305</v>
      </c>
      <c r="CE2" s="1729"/>
      <c r="CF2" s="1729"/>
      <c r="CG2" s="1729"/>
      <c r="CH2" s="1730"/>
    </row>
    <row r="3" spans="1:94" ht="13.5" customHeight="1">
      <c r="A3" s="838" t="s">
        <v>660</v>
      </c>
      <c r="B3" s="838"/>
      <c r="C3" s="1727">
        <v>862200</v>
      </c>
      <c r="D3" s="1727"/>
      <c r="E3" s="1727"/>
      <c r="F3" s="840"/>
      <c r="G3" s="840"/>
      <c r="H3" s="1727">
        <v>889110</v>
      </c>
      <c r="I3" s="1727"/>
      <c r="J3" s="1727"/>
      <c r="K3" s="840"/>
      <c r="L3" s="840"/>
      <c r="M3" s="1727">
        <v>881000</v>
      </c>
      <c r="N3" s="1727"/>
      <c r="O3" s="1727"/>
      <c r="P3" s="840"/>
      <c r="Q3" s="840"/>
      <c r="R3" s="1727">
        <v>932900</v>
      </c>
      <c r="S3" s="1727"/>
      <c r="T3" s="1727"/>
      <c r="U3" s="840"/>
      <c r="V3" s="840"/>
      <c r="W3" s="1727">
        <v>851020</v>
      </c>
      <c r="X3" s="1727"/>
      <c r="Y3" s="1727"/>
      <c r="Z3" s="840"/>
      <c r="AA3" s="840"/>
      <c r="AB3" s="1727">
        <v>851020</v>
      </c>
      <c r="AC3" s="1727"/>
      <c r="AD3" s="1727"/>
      <c r="AE3" s="840"/>
      <c r="AF3" s="840"/>
      <c r="AG3" s="1727">
        <v>851020</v>
      </c>
      <c r="AH3" s="1727"/>
      <c r="AI3" s="1727"/>
      <c r="AJ3" s="840"/>
      <c r="AK3" s="840"/>
      <c r="AL3" s="1727">
        <v>851020</v>
      </c>
      <c r="AM3" s="1727"/>
      <c r="AN3" s="1727"/>
      <c r="AO3" s="840"/>
      <c r="AP3" s="840"/>
      <c r="AQ3" s="1727">
        <v>851020</v>
      </c>
      <c r="AR3" s="1727"/>
      <c r="AS3" s="1727"/>
      <c r="AT3" s="840"/>
      <c r="AU3" s="840"/>
      <c r="AV3" s="1727">
        <v>851020</v>
      </c>
      <c r="AW3" s="1727"/>
      <c r="AX3" s="1727"/>
      <c r="AY3" s="840"/>
      <c r="AZ3" s="840"/>
      <c r="BA3" s="1727">
        <v>851020</v>
      </c>
      <c r="BB3" s="1727"/>
      <c r="BC3" s="1727"/>
      <c r="BD3" s="840"/>
      <c r="BE3" s="840"/>
      <c r="BF3" s="1727">
        <v>851020</v>
      </c>
      <c r="BG3" s="1727"/>
      <c r="BH3" s="1727"/>
      <c r="BI3" s="840"/>
      <c r="BJ3" s="840"/>
      <c r="BK3" s="1727">
        <v>851020</v>
      </c>
      <c r="BL3" s="1727"/>
      <c r="BM3" s="1727"/>
      <c r="BN3" s="840"/>
      <c r="BO3" s="840"/>
      <c r="BP3" s="1727">
        <v>851020</v>
      </c>
      <c r="BQ3" s="1727"/>
      <c r="BR3" s="1727"/>
      <c r="BS3" s="840"/>
      <c r="BT3" s="840"/>
      <c r="BU3" s="1727">
        <v>851020</v>
      </c>
      <c r="BV3" s="1727"/>
      <c r="BW3" s="1727"/>
      <c r="BX3" s="840"/>
      <c r="BY3" s="840"/>
      <c r="BZ3" s="1727">
        <v>841116</v>
      </c>
      <c r="CA3" s="1727"/>
      <c r="CB3" s="1727"/>
      <c r="CC3" s="840"/>
      <c r="CD3" s="841"/>
      <c r="CE3" s="1731" t="s">
        <v>661</v>
      </c>
      <c r="CF3" s="1732"/>
      <c r="CG3" s="1733"/>
      <c r="CH3" s="841"/>
    </row>
    <row r="4" spans="1:94" ht="27.75" hidden="1" customHeight="1">
      <c r="A4" s="842" t="s">
        <v>662</v>
      </c>
      <c r="B4" s="843"/>
      <c r="C4" s="844"/>
      <c r="D4" s="845" t="s">
        <v>663</v>
      </c>
      <c r="E4" s="846"/>
      <c r="F4" s="845"/>
      <c r="G4" s="845"/>
      <c r="H4" s="844"/>
      <c r="I4" s="845" t="s">
        <v>663</v>
      </c>
      <c r="J4" s="846"/>
      <c r="K4" s="845"/>
      <c r="L4" s="845"/>
      <c r="M4" s="844"/>
      <c r="N4" s="845" t="s">
        <v>663</v>
      </c>
      <c r="O4" s="846"/>
      <c r="P4" s="845"/>
      <c r="Q4" s="845"/>
      <c r="R4" s="844"/>
      <c r="S4" s="845" t="s">
        <v>663</v>
      </c>
      <c r="T4" s="846"/>
      <c r="U4" s="845"/>
      <c r="V4" s="845"/>
      <c r="W4" s="847"/>
      <c r="X4" s="848" t="s">
        <v>664</v>
      </c>
      <c r="Y4" s="846"/>
      <c r="Z4" s="848"/>
      <c r="AA4" s="848"/>
      <c r="AB4" s="847">
        <v>7</v>
      </c>
      <c r="AC4" s="848" t="s">
        <v>664</v>
      </c>
      <c r="AD4" s="846"/>
      <c r="AE4" s="848"/>
      <c r="AF4" s="848"/>
      <c r="AG4" s="847"/>
      <c r="AH4" s="848" t="s">
        <v>664</v>
      </c>
      <c r="AI4" s="846"/>
      <c r="AJ4" s="848"/>
      <c r="AK4" s="848"/>
      <c r="AL4" s="847"/>
      <c r="AM4" s="848" t="s">
        <v>664</v>
      </c>
      <c r="AN4" s="846"/>
      <c r="AO4" s="848"/>
      <c r="AP4" s="848"/>
      <c r="AQ4" s="847"/>
      <c r="AR4" s="848" t="s">
        <v>664</v>
      </c>
      <c r="AS4" s="846"/>
      <c r="AT4" s="848"/>
      <c r="AU4" s="848"/>
      <c r="AV4" s="847"/>
      <c r="AW4" s="848" t="s">
        <v>664</v>
      </c>
      <c r="AX4" s="846"/>
      <c r="AY4" s="848"/>
      <c r="AZ4" s="848"/>
      <c r="BA4" s="847"/>
      <c r="BB4" s="848" t="s">
        <v>664</v>
      </c>
      <c r="BC4" s="846"/>
      <c r="BD4" s="848"/>
      <c r="BE4" s="848"/>
      <c r="BF4" s="847"/>
      <c r="BG4" s="848" t="s">
        <v>664</v>
      </c>
      <c r="BH4" s="846"/>
      <c r="BI4" s="848"/>
      <c r="BJ4" s="848"/>
      <c r="BK4" s="847"/>
      <c r="BL4" s="848" t="s">
        <v>664</v>
      </c>
      <c r="BM4" s="846"/>
      <c r="BN4" s="848"/>
      <c r="BO4" s="848"/>
      <c r="BP4" s="847"/>
      <c r="BQ4" s="848" t="s">
        <v>664</v>
      </c>
      <c r="BR4" s="846"/>
      <c r="BS4" s="848"/>
      <c r="BT4" s="848"/>
      <c r="BU4" s="847"/>
      <c r="BV4" s="848" t="s">
        <v>664</v>
      </c>
      <c r="BW4" s="846"/>
      <c r="BX4" s="848"/>
      <c r="BY4" s="848"/>
      <c r="BZ4" s="847"/>
      <c r="CA4" s="848" t="s">
        <v>664</v>
      </c>
      <c r="CB4" s="846"/>
      <c r="CC4" s="848"/>
      <c r="CD4" s="849"/>
      <c r="CE4" s="850">
        <v>19</v>
      </c>
      <c r="CF4" s="851"/>
      <c r="CG4" s="852"/>
      <c r="CH4" s="849"/>
    </row>
    <row r="5" spans="1:94" s="303" customFormat="1" ht="45">
      <c r="A5" s="838" t="s">
        <v>665</v>
      </c>
      <c r="B5" s="853" t="s">
        <v>2</v>
      </c>
      <c r="C5" s="853" t="s">
        <v>139</v>
      </c>
      <c r="D5" s="833" t="s">
        <v>4</v>
      </c>
      <c r="E5" s="853" t="s">
        <v>5</v>
      </c>
      <c r="F5" s="833" t="s">
        <v>140</v>
      </c>
      <c r="G5" s="853" t="s">
        <v>2</v>
      </c>
      <c r="H5" s="853" t="s">
        <v>139</v>
      </c>
      <c r="I5" s="833" t="s">
        <v>4</v>
      </c>
      <c r="J5" s="853" t="s">
        <v>5</v>
      </c>
      <c r="K5" s="833" t="s">
        <v>140</v>
      </c>
      <c r="L5" s="853" t="s">
        <v>2</v>
      </c>
      <c r="M5" s="853" t="s">
        <v>139</v>
      </c>
      <c r="N5" s="833" t="s">
        <v>4</v>
      </c>
      <c r="O5" s="853" t="s">
        <v>5</v>
      </c>
      <c r="P5" s="833" t="s">
        <v>140</v>
      </c>
      <c r="Q5" s="853" t="s">
        <v>2</v>
      </c>
      <c r="R5" s="853" t="s">
        <v>139</v>
      </c>
      <c r="S5" s="833" t="s">
        <v>4</v>
      </c>
      <c r="T5" s="853" t="s">
        <v>5</v>
      </c>
      <c r="U5" s="1694" t="s">
        <v>140</v>
      </c>
      <c r="V5" s="853" t="s">
        <v>2</v>
      </c>
      <c r="W5" s="853" t="s">
        <v>139</v>
      </c>
      <c r="X5" s="833" t="s">
        <v>4</v>
      </c>
      <c r="Y5" s="853" t="s">
        <v>5</v>
      </c>
      <c r="Z5" s="833" t="s">
        <v>140</v>
      </c>
      <c r="AA5" s="853" t="s">
        <v>2</v>
      </c>
      <c r="AB5" s="853" t="s">
        <v>139</v>
      </c>
      <c r="AC5" s="833" t="s">
        <v>4</v>
      </c>
      <c r="AD5" s="853" t="s">
        <v>5</v>
      </c>
      <c r="AE5" s="833" t="s">
        <v>140</v>
      </c>
      <c r="AF5" s="853" t="s">
        <v>2</v>
      </c>
      <c r="AG5" s="853" t="s">
        <v>139</v>
      </c>
      <c r="AH5" s="833" t="s">
        <v>4</v>
      </c>
      <c r="AI5" s="853" t="s">
        <v>5</v>
      </c>
      <c r="AJ5" s="833" t="s">
        <v>140</v>
      </c>
      <c r="AK5" s="853" t="s">
        <v>2</v>
      </c>
      <c r="AL5" s="853" t="s">
        <v>139</v>
      </c>
      <c r="AM5" s="833" t="s">
        <v>4</v>
      </c>
      <c r="AN5" s="853" t="s">
        <v>5</v>
      </c>
      <c r="AO5" s="833" t="s">
        <v>140</v>
      </c>
      <c r="AP5" s="853" t="s">
        <v>2</v>
      </c>
      <c r="AQ5" s="853" t="s">
        <v>139</v>
      </c>
      <c r="AR5" s="833" t="s">
        <v>4</v>
      </c>
      <c r="AS5" s="853" t="s">
        <v>5</v>
      </c>
      <c r="AT5" s="833" t="s">
        <v>140</v>
      </c>
      <c r="AU5" s="853" t="s">
        <v>2</v>
      </c>
      <c r="AV5" s="853" t="s">
        <v>139</v>
      </c>
      <c r="AW5" s="833" t="s">
        <v>4</v>
      </c>
      <c r="AX5" s="853" t="s">
        <v>5</v>
      </c>
      <c r="AY5" s="833" t="s">
        <v>140</v>
      </c>
      <c r="AZ5" s="853" t="s">
        <v>2</v>
      </c>
      <c r="BA5" s="853" t="s">
        <v>139</v>
      </c>
      <c r="BB5" s="833" t="s">
        <v>4</v>
      </c>
      <c r="BC5" s="853" t="s">
        <v>5</v>
      </c>
      <c r="BD5" s="833" t="s">
        <v>140</v>
      </c>
      <c r="BE5" s="853" t="s">
        <v>2</v>
      </c>
      <c r="BF5" s="853" t="s">
        <v>139</v>
      </c>
      <c r="BG5" s="833" t="s">
        <v>4</v>
      </c>
      <c r="BH5" s="853" t="s">
        <v>5</v>
      </c>
      <c r="BI5" s="833" t="s">
        <v>140</v>
      </c>
      <c r="BJ5" s="853" t="s">
        <v>2</v>
      </c>
      <c r="BK5" s="853" t="s">
        <v>139</v>
      </c>
      <c r="BL5" s="833" t="s">
        <v>4</v>
      </c>
      <c r="BM5" s="853" t="s">
        <v>5</v>
      </c>
      <c r="BN5" s="833" t="s">
        <v>140</v>
      </c>
      <c r="BO5" s="853" t="s">
        <v>2</v>
      </c>
      <c r="BP5" s="853" t="s">
        <v>139</v>
      </c>
      <c r="BQ5" s="833" t="s">
        <v>4</v>
      </c>
      <c r="BR5" s="853" t="s">
        <v>5</v>
      </c>
      <c r="BS5" s="833" t="s">
        <v>140</v>
      </c>
      <c r="BT5" s="853" t="s">
        <v>2</v>
      </c>
      <c r="BU5" s="853" t="s">
        <v>139</v>
      </c>
      <c r="BV5" s="833" t="s">
        <v>4</v>
      </c>
      <c r="BW5" s="853" t="s">
        <v>5</v>
      </c>
      <c r="BX5" s="833" t="s">
        <v>140</v>
      </c>
      <c r="BY5" s="853" t="s">
        <v>2</v>
      </c>
      <c r="BZ5" s="853" t="s">
        <v>139</v>
      </c>
      <c r="CA5" s="833" t="s">
        <v>4</v>
      </c>
      <c r="CB5" s="853" t="s">
        <v>5</v>
      </c>
      <c r="CC5" s="833" t="s">
        <v>140</v>
      </c>
      <c r="CD5" s="854" t="s">
        <v>2</v>
      </c>
      <c r="CE5" s="854" t="s">
        <v>139</v>
      </c>
      <c r="CF5" s="837" t="s">
        <v>4</v>
      </c>
      <c r="CG5" s="854" t="s">
        <v>5</v>
      </c>
      <c r="CH5" s="837" t="s">
        <v>140</v>
      </c>
    </row>
    <row r="6" spans="1:94" ht="15.75" customHeight="1">
      <c r="A6" s="855"/>
      <c r="B6" s="855" t="s">
        <v>74</v>
      </c>
      <c r="C6" s="855" t="s">
        <v>75</v>
      </c>
      <c r="D6" s="855" t="s">
        <v>76</v>
      </c>
      <c r="E6" s="856">
        <v>2</v>
      </c>
      <c r="F6" s="855">
        <v>3</v>
      </c>
      <c r="G6" s="855">
        <v>4</v>
      </c>
      <c r="H6" s="855" t="s">
        <v>77</v>
      </c>
      <c r="I6" s="855" t="s">
        <v>78</v>
      </c>
      <c r="J6" s="856">
        <v>5</v>
      </c>
      <c r="K6" s="855">
        <v>6</v>
      </c>
      <c r="L6" s="855">
        <v>7</v>
      </c>
      <c r="M6" s="855" t="s">
        <v>79</v>
      </c>
      <c r="N6" s="855" t="s">
        <v>80</v>
      </c>
      <c r="O6" s="856">
        <v>8</v>
      </c>
      <c r="P6" s="855">
        <v>9</v>
      </c>
      <c r="Q6" s="855">
        <v>10</v>
      </c>
      <c r="R6" s="855" t="s">
        <v>666</v>
      </c>
      <c r="S6" s="855" t="s">
        <v>667</v>
      </c>
      <c r="T6" s="856">
        <v>11</v>
      </c>
      <c r="U6" s="855">
        <v>12</v>
      </c>
      <c r="V6" s="855">
        <v>13</v>
      </c>
      <c r="W6" s="855" t="s">
        <v>668</v>
      </c>
      <c r="X6" s="855" t="s">
        <v>669</v>
      </c>
      <c r="Y6" s="856">
        <v>14</v>
      </c>
      <c r="Z6" s="855">
        <v>15</v>
      </c>
      <c r="AA6" s="855">
        <v>16</v>
      </c>
      <c r="AB6" s="855" t="s">
        <v>670</v>
      </c>
      <c r="AC6" s="855" t="s">
        <v>671</v>
      </c>
      <c r="AD6" s="856">
        <v>17</v>
      </c>
      <c r="AE6" s="855">
        <v>18</v>
      </c>
      <c r="AF6" s="855">
        <v>19</v>
      </c>
      <c r="AG6" s="855" t="s">
        <v>672</v>
      </c>
      <c r="AH6" s="855" t="s">
        <v>673</v>
      </c>
      <c r="AI6" s="856">
        <v>20</v>
      </c>
      <c r="AJ6" s="855">
        <v>21</v>
      </c>
      <c r="AK6" s="855">
        <v>22</v>
      </c>
      <c r="AL6" s="855" t="s">
        <v>674</v>
      </c>
      <c r="AM6" s="855" t="s">
        <v>675</v>
      </c>
      <c r="AN6" s="856">
        <v>23</v>
      </c>
      <c r="AO6" s="855">
        <v>24</v>
      </c>
      <c r="AP6" s="855">
        <v>25</v>
      </c>
      <c r="AQ6" s="855" t="s">
        <v>676</v>
      </c>
      <c r="AR6" s="855" t="s">
        <v>677</v>
      </c>
      <c r="AS6" s="856">
        <v>26</v>
      </c>
      <c r="AT6" s="855">
        <v>27</v>
      </c>
      <c r="AU6" s="855">
        <v>28</v>
      </c>
      <c r="AV6" s="855" t="s">
        <v>678</v>
      </c>
      <c r="AW6" s="855" t="s">
        <v>679</v>
      </c>
      <c r="AX6" s="856">
        <v>29</v>
      </c>
      <c r="AY6" s="855">
        <v>30</v>
      </c>
      <c r="AZ6" s="855">
        <v>31</v>
      </c>
      <c r="BA6" s="855" t="s">
        <v>680</v>
      </c>
      <c r="BB6" s="855" t="s">
        <v>681</v>
      </c>
      <c r="BC6" s="856">
        <v>32</v>
      </c>
      <c r="BD6" s="855">
        <v>33</v>
      </c>
      <c r="BE6" s="855">
        <v>34</v>
      </c>
      <c r="BF6" s="855" t="s">
        <v>682</v>
      </c>
      <c r="BG6" s="855" t="s">
        <v>683</v>
      </c>
      <c r="BH6" s="856">
        <v>35</v>
      </c>
      <c r="BI6" s="855">
        <v>36</v>
      </c>
      <c r="BJ6" s="855">
        <v>37</v>
      </c>
      <c r="BK6" s="855" t="s">
        <v>684</v>
      </c>
      <c r="BL6" s="855" t="s">
        <v>685</v>
      </c>
      <c r="BM6" s="856">
        <v>38</v>
      </c>
      <c r="BN6" s="855">
        <v>39</v>
      </c>
      <c r="BO6" s="855">
        <v>40</v>
      </c>
      <c r="BP6" s="855" t="s">
        <v>686</v>
      </c>
      <c r="BQ6" s="855" t="s">
        <v>687</v>
      </c>
      <c r="BR6" s="856">
        <v>41</v>
      </c>
      <c r="BS6" s="855">
        <v>42</v>
      </c>
      <c r="BT6" s="855">
        <v>43</v>
      </c>
      <c r="BU6" s="855" t="s">
        <v>688</v>
      </c>
      <c r="BV6" s="855" t="s">
        <v>689</v>
      </c>
      <c r="BW6" s="856">
        <v>44</v>
      </c>
      <c r="BX6" s="855">
        <v>45</v>
      </c>
      <c r="BY6" s="855">
        <v>46</v>
      </c>
      <c r="BZ6" s="855" t="s">
        <v>690</v>
      </c>
      <c r="CA6" s="855" t="s">
        <v>691</v>
      </c>
      <c r="CB6" s="856">
        <v>47</v>
      </c>
      <c r="CC6" s="855">
        <v>48</v>
      </c>
      <c r="CD6" s="857">
        <v>49</v>
      </c>
      <c r="CE6" s="857" t="s">
        <v>692</v>
      </c>
      <c r="CF6" s="857" t="s">
        <v>693</v>
      </c>
      <c r="CG6" s="857">
        <v>50</v>
      </c>
      <c r="CH6" s="857">
        <v>51</v>
      </c>
    </row>
    <row r="7" spans="1:94" s="866" customFormat="1" ht="12" customHeight="1">
      <c r="A7" s="858"/>
      <c r="B7" s="858"/>
      <c r="C7" s="859"/>
      <c r="D7" s="860"/>
      <c r="E7" s="859"/>
      <c r="F7" s="859"/>
      <c r="G7" s="859"/>
      <c r="H7" s="859"/>
      <c r="I7" s="859"/>
      <c r="J7" s="861"/>
      <c r="K7" s="861"/>
      <c r="L7" s="861"/>
      <c r="M7" s="859"/>
      <c r="N7" s="859"/>
      <c r="O7" s="859"/>
      <c r="P7" s="859"/>
      <c r="Q7" s="861"/>
      <c r="R7" s="859"/>
      <c r="S7" s="859"/>
      <c r="T7" s="861"/>
      <c r="U7" s="861"/>
      <c r="V7" s="861"/>
      <c r="W7" s="862"/>
      <c r="X7" s="862"/>
      <c r="Y7" s="862"/>
      <c r="Z7" s="862"/>
      <c r="AA7" s="862"/>
      <c r="AB7" s="862"/>
      <c r="AC7" s="862"/>
      <c r="AD7" s="862"/>
      <c r="AE7" s="862"/>
      <c r="AF7" s="862"/>
      <c r="AG7" s="862"/>
      <c r="AH7" s="862"/>
      <c r="AI7" s="862"/>
      <c r="AJ7" s="862"/>
      <c r="AK7" s="862"/>
      <c r="AL7" s="862"/>
      <c r="AM7" s="862"/>
      <c r="AN7" s="862"/>
      <c r="AO7" s="862"/>
      <c r="AP7" s="862"/>
      <c r="AQ7" s="862"/>
      <c r="AR7" s="862"/>
      <c r="AS7" s="862"/>
      <c r="AT7" s="862"/>
      <c r="AU7" s="862"/>
      <c r="AV7" s="862"/>
      <c r="AW7" s="862"/>
      <c r="AX7" s="862"/>
      <c r="AY7" s="862"/>
      <c r="AZ7" s="862"/>
      <c r="BA7" s="862"/>
      <c r="BB7" s="862"/>
      <c r="BC7" s="862"/>
      <c r="BD7" s="862"/>
      <c r="BE7" s="862"/>
      <c r="BF7" s="862"/>
      <c r="BG7" s="862"/>
      <c r="BH7" s="863"/>
      <c r="BI7" s="863"/>
      <c r="BJ7" s="863"/>
      <c r="BK7" s="862"/>
      <c r="BL7" s="862"/>
      <c r="BM7" s="863"/>
      <c r="BN7" s="863"/>
      <c r="BO7" s="863"/>
      <c r="BP7" s="862"/>
      <c r="BQ7" s="862"/>
      <c r="BR7" s="862"/>
      <c r="BS7" s="862"/>
      <c r="BT7" s="862"/>
      <c r="BU7" s="862"/>
      <c r="BV7" s="862"/>
      <c r="BW7" s="862"/>
      <c r="BX7" s="862"/>
      <c r="BY7" s="862"/>
      <c r="BZ7" s="862"/>
      <c r="CA7" s="862"/>
      <c r="CB7" s="862"/>
      <c r="CC7" s="862"/>
      <c r="CD7" s="864"/>
      <c r="CE7" s="865"/>
      <c r="CF7" s="865"/>
      <c r="CG7" s="865"/>
      <c r="CH7" s="864"/>
    </row>
    <row r="8" spans="1:94" s="880" customFormat="1" ht="12.75" customHeight="1">
      <c r="A8" s="867" t="s">
        <v>694</v>
      </c>
      <c r="B8" s="868">
        <v>216.93</v>
      </c>
      <c r="C8" s="869">
        <v>216.93</v>
      </c>
      <c r="D8" s="870"/>
      <c r="E8" s="871">
        <f t="shared" ref="E8:F11" si="0">SUM(C8+D8)</f>
        <v>216.93</v>
      </c>
      <c r="F8" s="871">
        <f t="shared" si="0"/>
        <v>216.93</v>
      </c>
      <c r="G8" s="869">
        <v>158.5</v>
      </c>
      <c r="H8" s="869">
        <v>158.5</v>
      </c>
      <c r="I8" s="872"/>
      <c r="J8" s="873">
        <f t="shared" ref="J8:K11" si="1">SUM(H8+I8)</f>
        <v>158.5</v>
      </c>
      <c r="K8" s="873">
        <f t="shared" si="1"/>
        <v>158.5</v>
      </c>
      <c r="L8" s="869">
        <v>150</v>
      </c>
      <c r="M8" s="869">
        <v>150</v>
      </c>
      <c r="N8" s="872"/>
      <c r="O8" s="871">
        <f t="shared" ref="O8:P11" si="2">SUM(M8+N8)</f>
        <v>150</v>
      </c>
      <c r="P8" s="871">
        <f t="shared" si="2"/>
        <v>150</v>
      </c>
      <c r="Q8" s="869">
        <v>109</v>
      </c>
      <c r="R8" s="874">
        <v>109</v>
      </c>
      <c r="S8" s="872"/>
      <c r="T8" s="871">
        <f t="shared" ref="T8:U11" si="3">SUM(R8+S8)</f>
        <v>109</v>
      </c>
      <c r="U8" s="871">
        <f t="shared" si="3"/>
        <v>109</v>
      </c>
      <c r="V8" s="871">
        <v>27</v>
      </c>
      <c r="W8" s="871">
        <v>27</v>
      </c>
      <c r="X8" s="875"/>
      <c r="Y8" s="871">
        <f t="shared" ref="Y8:Z11" si="4">SUM(W8+X8)</f>
        <v>27</v>
      </c>
      <c r="Z8" s="871">
        <f t="shared" si="4"/>
        <v>27</v>
      </c>
      <c r="AA8" s="871">
        <v>43</v>
      </c>
      <c r="AB8" s="871">
        <v>43</v>
      </c>
      <c r="AC8" s="875"/>
      <c r="AD8" s="871">
        <f t="shared" ref="AD8:AE10" si="5">SUM(AB8+AC8)</f>
        <v>43</v>
      </c>
      <c r="AE8" s="871">
        <f t="shared" si="5"/>
        <v>43</v>
      </c>
      <c r="AF8" s="871">
        <v>38.5</v>
      </c>
      <c r="AG8" s="871">
        <v>38.5</v>
      </c>
      <c r="AH8" s="875"/>
      <c r="AI8" s="871">
        <f t="shared" ref="AI8:AJ11" si="6">SUM(AG8+AH8)</f>
        <v>38.5</v>
      </c>
      <c r="AJ8" s="871">
        <f t="shared" si="6"/>
        <v>38.5</v>
      </c>
      <c r="AK8" s="871">
        <v>53.5</v>
      </c>
      <c r="AL8" s="871">
        <v>53.5</v>
      </c>
      <c r="AM8" s="875"/>
      <c r="AN8" s="871">
        <f t="shared" ref="AN8:AO11" si="7">SUM(AL8+AM8)</f>
        <v>53.5</v>
      </c>
      <c r="AO8" s="871">
        <f t="shared" si="7"/>
        <v>53.5</v>
      </c>
      <c r="AP8" s="871">
        <v>31.75</v>
      </c>
      <c r="AQ8" s="871">
        <v>31.75</v>
      </c>
      <c r="AR8" s="875"/>
      <c r="AS8" s="871">
        <f t="shared" ref="AS8:AT11" si="8">SUM(AQ8+AR8)</f>
        <v>31.75</v>
      </c>
      <c r="AT8" s="871">
        <f t="shared" si="8"/>
        <v>31.75</v>
      </c>
      <c r="AU8" s="871">
        <v>31</v>
      </c>
      <c r="AV8" s="871">
        <v>31</v>
      </c>
      <c r="AW8" s="875"/>
      <c r="AX8" s="871">
        <f t="shared" ref="AX8:AY11" si="9">SUM(AV8+AW8)</f>
        <v>31</v>
      </c>
      <c r="AY8" s="871">
        <f t="shared" si="9"/>
        <v>31</v>
      </c>
      <c r="AZ8" s="871">
        <v>38</v>
      </c>
      <c r="BA8" s="871">
        <v>38</v>
      </c>
      <c r="BB8" s="875"/>
      <c r="BC8" s="871">
        <f t="shared" ref="BC8:BD11" si="10">SUM(BA8+BB8)</f>
        <v>38</v>
      </c>
      <c r="BD8" s="871">
        <f t="shared" si="10"/>
        <v>38</v>
      </c>
      <c r="BE8" s="871">
        <v>32</v>
      </c>
      <c r="BF8" s="871">
        <v>32</v>
      </c>
      <c r="BG8" s="875"/>
      <c r="BH8" s="876">
        <f t="shared" ref="BH8:BI11" si="11">SUM(BF8+BG8)</f>
        <v>32</v>
      </c>
      <c r="BI8" s="876">
        <f t="shared" si="11"/>
        <v>32</v>
      </c>
      <c r="BJ8" s="877">
        <v>32</v>
      </c>
      <c r="BK8" s="871">
        <v>32</v>
      </c>
      <c r="BL8" s="875"/>
      <c r="BM8" s="876">
        <f t="shared" ref="BM8:BN11" si="12">SUM(BK8+BL8)</f>
        <v>32</v>
      </c>
      <c r="BN8" s="876">
        <f t="shared" si="12"/>
        <v>32</v>
      </c>
      <c r="BO8" s="862">
        <v>33.25</v>
      </c>
      <c r="BP8" s="871">
        <v>33.25</v>
      </c>
      <c r="BQ8" s="875"/>
      <c r="BR8" s="871">
        <f t="shared" ref="BR8:BS11" si="13">SUM(BP8+BQ8)</f>
        <v>33.25</v>
      </c>
      <c r="BS8" s="871">
        <f t="shared" si="13"/>
        <v>33.25</v>
      </c>
      <c r="BT8" s="878">
        <v>27</v>
      </c>
      <c r="BU8" s="871">
        <v>27</v>
      </c>
      <c r="BV8" s="875"/>
      <c r="BW8" s="871">
        <f t="shared" ref="BW8:BX11" si="14">SUM(BU8+BV8)</f>
        <v>27</v>
      </c>
      <c r="BX8" s="871">
        <f t="shared" si="14"/>
        <v>27</v>
      </c>
      <c r="BY8" s="862">
        <v>295.26</v>
      </c>
      <c r="BZ8" s="871">
        <v>295.26</v>
      </c>
      <c r="CA8" s="875"/>
      <c r="CB8" s="871">
        <f t="shared" ref="CB8:CC11" si="15">SUM(BZ8+CA8)</f>
        <v>295.26</v>
      </c>
      <c r="CC8" s="871">
        <f t="shared" si="15"/>
        <v>295.26</v>
      </c>
      <c r="CD8" s="879">
        <f t="shared" ref="CD8" si="16">SUM(B8+G8+L8+Q8+V8+AA8+AF8+AK8+AP8+AU8+AZ8+BE8+BJ8+BO8+BT8+BY8)</f>
        <v>1316.69</v>
      </c>
      <c r="CE8" s="879">
        <f t="shared" ref="CE8" si="17">SUM(C8+H8+M8+R8+W8+AB8+AG8+AL8+AQ8+AV8+BA8+BF8+BK8+BP8+BU8+BZ8)</f>
        <v>1316.69</v>
      </c>
      <c r="CF8" s="879">
        <f t="shared" ref="CF8" si="18">SUM(D8+I8+N8+S8+X8+AC8+AH8+AM8+AR8+AW8+BB8+BG8+BL8+BQ8+BV8+CA8)</f>
        <v>0</v>
      </c>
      <c r="CG8" s="879">
        <f t="shared" ref="CG8" si="19">SUM(E8+J8+O8+T8+Y8+AD8+AI8+AN8+AS8+AX8+BC8+BH8+BM8+BR8+BW8+CB8)</f>
        <v>1316.69</v>
      </c>
      <c r="CH8" s="879">
        <f t="shared" ref="CH8" si="20">SUM(F8+K8+P8+U8+Z8+AE8+AJ8+AO8+AT8+AY8+BD8+BI8+BN8+BS8+BX8+CC8)</f>
        <v>1316.69</v>
      </c>
    </row>
    <row r="9" spans="1:94" s="890" customFormat="1" ht="11.25" customHeight="1">
      <c r="A9" s="881" t="s">
        <v>695</v>
      </c>
      <c r="B9" s="881"/>
      <c r="C9" s="869">
        <v>216.93</v>
      </c>
      <c r="D9" s="882"/>
      <c r="E9" s="862">
        <f t="shared" si="0"/>
        <v>216.93</v>
      </c>
      <c r="F9" s="862">
        <f t="shared" si="0"/>
        <v>216.93</v>
      </c>
      <c r="G9" s="883"/>
      <c r="H9" s="869">
        <v>158.5</v>
      </c>
      <c r="I9" s="884"/>
      <c r="J9" s="861">
        <f t="shared" si="1"/>
        <v>158.5</v>
      </c>
      <c r="K9" s="861">
        <f t="shared" si="1"/>
        <v>158.5</v>
      </c>
      <c r="L9" s="886"/>
      <c r="M9" s="869">
        <v>150</v>
      </c>
      <c r="N9" s="884"/>
      <c r="O9" s="862">
        <f t="shared" si="2"/>
        <v>150</v>
      </c>
      <c r="P9" s="862">
        <f t="shared" si="2"/>
        <v>150</v>
      </c>
      <c r="Q9" s="883"/>
      <c r="R9" s="874">
        <v>109</v>
      </c>
      <c r="S9" s="884"/>
      <c r="T9" s="862">
        <f t="shared" si="3"/>
        <v>109</v>
      </c>
      <c r="U9" s="862">
        <f t="shared" si="3"/>
        <v>109</v>
      </c>
      <c r="V9" s="883"/>
      <c r="W9" s="871">
        <v>27</v>
      </c>
      <c r="X9" s="888"/>
      <c r="Y9" s="862">
        <f t="shared" si="4"/>
        <v>27</v>
      </c>
      <c r="Z9" s="862">
        <f t="shared" si="4"/>
        <v>27</v>
      </c>
      <c r="AA9" s="862"/>
      <c r="AB9" s="871">
        <v>43</v>
      </c>
      <c r="AC9" s="888"/>
      <c r="AD9" s="862">
        <f t="shared" si="5"/>
        <v>43</v>
      </c>
      <c r="AE9" s="862">
        <f t="shared" si="5"/>
        <v>43</v>
      </c>
      <c r="AF9" s="862"/>
      <c r="AG9" s="871">
        <v>38.5</v>
      </c>
      <c r="AH9" s="888"/>
      <c r="AI9" s="862">
        <f t="shared" si="6"/>
        <v>38.5</v>
      </c>
      <c r="AJ9" s="862">
        <f t="shared" si="6"/>
        <v>38.5</v>
      </c>
      <c r="AK9" s="883"/>
      <c r="AL9" s="871">
        <v>53.5</v>
      </c>
      <c r="AM9" s="888"/>
      <c r="AN9" s="862">
        <f t="shared" si="7"/>
        <v>53.5</v>
      </c>
      <c r="AO9" s="862">
        <f t="shared" si="7"/>
        <v>53.5</v>
      </c>
      <c r="AP9" s="862"/>
      <c r="AQ9" s="871">
        <v>31.75</v>
      </c>
      <c r="AR9" s="888"/>
      <c r="AS9" s="862">
        <f t="shared" si="8"/>
        <v>31.75</v>
      </c>
      <c r="AT9" s="862">
        <f t="shared" si="8"/>
        <v>31.75</v>
      </c>
      <c r="AU9" s="862"/>
      <c r="AV9" s="871">
        <v>31</v>
      </c>
      <c r="AW9" s="888"/>
      <c r="AX9" s="862">
        <f t="shared" si="9"/>
        <v>31</v>
      </c>
      <c r="AY9" s="862">
        <f t="shared" si="9"/>
        <v>31</v>
      </c>
      <c r="AZ9" s="862"/>
      <c r="BA9" s="871">
        <v>38</v>
      </c>
      <c r="BB9" s="888"/>
      <c r="BC9" s="862">
        <f t="shared" si="10"/>
        <v>38</v>
      </c>
      <c r="BD9" s="862">
        <f t="shared" si="10"/>
        <v>38</v>
      </c>
      <c r="BE9" s="862"/>
      <c r="BF9" s="871">
        <v>32</v>
      </c>
      <c r="BG9" s="888"/>
      <c r="BH9" s="863">
        <f t="shared" si="11"/>
        <v>32</v>
      </c>
      <c r="BI9" s="863">
        <f t="shared" si="11"/>
        <v>32</v>
      </c>
      <c r="BJ9" s="889"/>
      <c r="BK9" s="871">
        <v>32</v>
      </c>
      <c r="BL9" s="888"/>
      <c r="BM9" s="863">
        <f t="shared" si="12"/>
        <v>32</v>
      </c>
      <c r="BN9" s="863">
        <f t="shared" si="12"/>
        <v>32</v>
      </c>
      <c r="BO9" s="889"/>
      <c r="BP9" s="871">
        <v>33.25</v>
      </c>
      <c r="BQ9" s="888"/>
      <c r="BR9" s="862">
        <f t="shared" si="13"/>
        <v>33.25</v>
      </c>
      <c r="BS9" s="862">
        <f t="shared" si="13"/>
        <v>33.25</v>
      </c>
      <c r="BT9" s="883"/>
      <c r="BU9" s="871">
        <v>27</v>
      </c>
      <c r="BV9" s="888"/>
      <c r="BW9" s="862">
        <f t="shared" si="14"/>
        <v>27</v>
      </c>
      <c r="BX9" s="862">
        <f t="shared" si="14"/>
        <v>27</v>
      </c>
      <c r="BY9" s="883"/>
      <c r="BZ9" s="871">
        <v>295.26</v>
      </c>
      <c r="CA9" s="888"/>
      <c r="CB9" s="862">
        <f t="shared" si="15"/>
        <v>295.26</v>
      </c>
      <c r="CC9" s="862">
        <f t="shared" si="15"/>
        <v>295.26</v>
      </c>
      <c r="CD9" s="879">
        <f t="shared" ref="CD9:CD12" si="21">SUM(B9+G9+L9+Q9+V9+AA9+AF9+AK9+AP9+AU9+AZ9+BE9+BJ9+BO9+BT9+BY9)</f>
        <v>0</v>
      </c>
      <c r="CE9" s="879">
        <f t="shared" ref="CE9:CE12" si="22">SUM(C9+H9+M9+R9+W9+AB9+AG9+AL9+AQ9+AV9+BA9+BF9+BK9+BP9+BU9+BZ9)</f>
        <v>1316.69</v>
      </c>
      <c r="CF9" s="879">
        <f t="shared" ref="CF9:CF12" si="23">SUM(D9+I9+N9+S9+X9+AC9+AH9+AM9+AR9+AW9+BB9+BG9+BL9+BQ9+BV9+CA9)</f>
        <v>0</v>
      </c>
      <c r="CG9" s="879">
        <f t="shared" ref="CG9:CG12" si="24">SUM(E9+J9+O9+T9+Y9+AD9+AI9+AN9+AS9+AX9+BC9+BH9+BM9+BR9+BW9+CB9)</f>
        <v>1316.69</v>
      </c>
      <c r="CH9" s="879">
        <f t="shared" ref="CH9:CH12" si="25">SUM(F9+K9+P9+U9+Z9+AE9+AJ9+AO9+AT9+AY9+BD9+BI9+BN9+BS9+BX9+CC9)</f>
        <v>1316.69</v>
      </c>
    </row>
    <row r="10" spans="1:94" s="890" customFormat="1" ht="11.25" customHeight="1">
      <c r="A10" s="881" t="s">
        <v>696</v>
      </c>
      <c r="B10" s="881"/>
      <c r="C10" s="869">
        <v>216.93</v>
      </c>
      <c r="D10" s="882">
        <v>-1</v>
      </c>
      <c r="E10" s="862">
        <f t="shared" si="0"/>
        <v>215.93</v>
      </c>
      <c r="F10" s="862">
        <f t="shared" si="0"/>
        <v>214.93</v>
      </c>
      <c r="G10" s="883"/>
      <c r="H10" s="869">
        <v>158.5</v>
      </c>
      <c r="I10" s="884"/>
      <c r="J10" s="861">
        <f t="shared" si="1"/>
        <v>158.5</v>
      </c>
      <c r="K10" s="861">
        <f t="shared" si="1"/>
        <v>158.5</v>
      </c>
      <c r="L10" s="886"/>
      <c r="M10" s="869">
        <v>150</v>
      </c>
      <c r="N10" s="884"/>
      <c r="O10" s="862">
        <f t="shared" si="2"/>
        <v>150</v>
      </c>
      <c r="P10" s="862">
        <f t="shared" si="2"/>
        <v>150</v>
      </c>
      <c r="Q10" s="883"/>
      <c r="R10" s="874">
        <v>109</v>
      </c>
      <c r="S10" s="884"/>
      <c r="T10" s="862">
        <f t="shared" si="3"/>
        <v>109</v>
      </c>
      <c r="U10" s="862">
        <f t="shared" si="3"/>
        <v>109</v>
      </c>
      <c r="V10" s="883"/>
      <c r="W10" s="871">
        <v>27</v>
      </c>
      <c r="X10" s="888"/>
      <c r="Y10" s="862">
        <f t="shared" si="4"/>
        <v>27</v>
      </c>
      <c r="Z10" s="862">
        <f t="shared" si="4"/>
        <v>27</v>
      </c>
      <c r="AA10" s="862"/>
      <c r="AB10" s="871">
        <v>43</v>
      </c>
      <c r="AC10" s="888"/>
      <c r="AD10" s="862">
        <f t="shared" si="5"/>
        <v>43</v>
      </c>
      <c r="AE10" s="862">
        <f t="shared" si="5"/>
        <v>43</v>
      </c>
      <c r="AF10" s="862"/>
      <c r="AG10" s="871">
        <v>38.5</v>
      </c>
      <c r="AH10" s="888"/>
      <c r="AI10" s="862">
        <f t="shared" si="6"/>
        <v>38.5</v>
      </c>
      <c r="AJ10" s="862">
        <f t="shared" si="6"/>
        <v>38.5</v>
      </c>
      <c r="AK10" s="883"/>
      <c r="AL10" s="871">
        <v>53.5</v>
      </c>
      <c r="AM10" s="888"/>
      <c r="AN10" s="862">
        <f t="shared" si="7"/>
        <v>53.5</v>
      </c>
      <c r="AO10" s="862">
        <f t="shared" si="7"/>
        <v>53.5</v>
      </c>
      <c r="AP10" s="862"/>
      <c r="AQ10" s="871">
        <v>31.75</v>
      </c>
      <c r="AR10" s="888"/>
      <c r="AS10" s="862">
        <f t="shared" si="8"/>
        <v>31.75</v>
      </c>
      <c r="AT10" s="862">
        <f t="shared" si="8"/>
        <v>31.75</v>
      </c>
      <c r="AU10" s="862"/>
      <c r="AV10" s="871">
        <v>31</v>
      </c>
      <c r="AW10" s="888"/>
      <c r="AX10" s="862">
        <f t="shared" si="9"/>
        <v>31</v>
      </c>
      <c r="AY10" s="862">
        <f t="shared" si="9"/>
        <v>31</v>
      </c>
      <c r="AZ10" s="862"/>
      <c r="BA10" s="871">
        <v>38</v>
      </c>
      <c r="BB10" s="888"/>
      <c r="BC10" s="862">
        <f t="shared" si="10"/>
        <v>38</v>
      </c>
      <c r="BD10" s="862">
        <f t="shared" si="10"/>
        <v>38</v>
      </c>
      <c r="BE10" s="862"/>
      <c r="BF10" s="871">
        <v>32</v>
      </c>
      <c r="BG10" s="888"/>
      <c r="BH10" s="863">
        <f t="shared" si="11"/>
        <v>32</v>
      </c>
      <c r="BI10" s="863">
        <f t="shared" si="11"/>
        <v>32</v>
      </c>
      <c r="BJ10" s="889"/>
      <c r="BK10" s="871">
        <v>32</v>
      </c>
      <c r="BL10" s="888"/>
      <c r="BM10" s="863">
        <f t="shared" si="12"/>
        <v>32</v>
      </c>
      <c r="BN10" s="863">
        <f t="shared" si="12"/>
        <v>32</v>
      </c>
      <c r="BO10" s="889"/>
      <c r="BP10" s="871">
        <v>33.25</v>
      </c>
      <c r="BQ10" s="888"/>
      <c r="BR10" s="862">
        <f t="shared" si="13"/>
        <v>33.25</v>
      </c>
      <c r="BS10" s="862">
        <f t="shared" si="13"/>
        <v>33.25</v>
      </c>
      <c r="BT10" s="883"/>
      <c r="BU10" s="871">
        <v>27</v>
      </c>
      <c r="BV10" s="888"/>
      <c r="BW10" s="862">
        <f t="shared" si="14"/>
        <v>27</v>
      </c>
      <c r="BX10" s="862">
        <f t="shared" si="14"/>
        <v>27</v>
      </c>
      <c r="BY10" s="883"/>
      <c r="BZ10" s="871">
        <v>295.26</v>
      </c>
      <c r="CA10" s="888"/>
      <c r="CB10" s="862">
        <f t="shared" si="15"/>
        <v>295.26</v>
      </c>
      <c r="CC10" s="862">
        <f t="shared" si="15"/>
        <v>295.26</v>
      </c>
      <c r="CD10" s="879">
        <f t="shared" si="21"/>
        <v>0</v>
      </c>
      <c r="CE10" s="879">
        <f t="shared" si="22"/>
        <v>1316.69</v>
      </c>
      <c r="CF10" s="879">
        <f t="shared" si="23"/>
        <v>-1</v>
      </c>
      <c r="CG10" s="879">
        <f t="shared" si="24"/>
        <v>1315.69</v>
      </c>
      <c r="CH10" s="879">
        <f t="shared" si="25"/>
        <v>1314.69</v>
      </c>
    </row>
    <row r="11" spans="1:94" s="892" customFormat="1" ht="12" customHeight="1">
      <c r="A11" s="881" t="s">
        <v>697</v>
      </c>
      <c r="B11" s="881"/>
      <c r="C11" s="869">
        <v>215.93</v>
      </c>
      <c r="D11" s="888"/>
      <c r="E11" s="862">
        <f t="shared" si="0"/>
        <v>215.93</v>
      </c>
      <c r="F11" s="862">
        <f t="shared" si="0"/>
        <v>215.93</v>
      </c>
      <c r="G11" s="883"/>
      <c r="H11" s="869">
        <v>158.5</v>
      </c>
      <c r="I11" s="888"/>
      <c r="J11" s="862">
        <f t="shared" si="1"/>
        <v>158.5</v>
      </c>
      <c r="K11" s="862">
        <f t="shared" si="1"/>
        <v>158.5</v>
      </c>
      <c r="L11" s="883"/>
      <c r="M11" s="869">
        <v>150</v>
      </c>
      <c r="N11" s="888"/>
      <c r="O11" s="862">
        <f t="shared" si="2"/>
        <v>150</v>
      </c>
      <c r="P11" s="862">
        <f t="shared" si="2"/>
        <v>150</v>
      </c>
      <c r="Q11" s="883"/>
      <c r="R11" s="874">
        <v>109</v>
      </c>
      <c r="S11" s="888"/>
      <c r="T11" s="862">
        <f t="shared" si="3"/>
        <v>109</v>
      </c>
      <c r="U11" s="862">
        <f t="shared" si="3"/>
        <v>109</v>
      </c>
      <c r="V11" s="883"/>
      <c r="W11" s="871">
        <v>27</v>
      </c>
      <c r="X11" s="888"/>
      <c r="Y11" s="862">
        <f t="shared" si="4"/>
        <v>27</v>
      </c>
      <c r="Z11" s="862">
        <f t="shared" si="4"/>
        <v>27</v>
      </c>
      <c r="AA11" s="883"/>
      <c r="AB11" s="871">
        <v>43</v>
      </c>
      <c r="AC11" s="888">
        <v>-3</v>
      </c>
      <c r="AD11" s="863">
        <f>SUM(AB11+AC11)</f>
        <v>40</v>
      </c>
      <c r="AE11" s="885">
        <v>40</v>
      </c>
      <c r="AF11" s="889"/>
      <c r="AG11" s="871">
        <v>38.5</v>
      </c>
      <c r="AH11" s="888"/>
      <c r="AI11" s="862">
        <f t="shared" si="6"/>
        <v>38.5</v>
      </c>
      <c r="AJ11" s="862">
        <f t="shared" si="6"/>
        <v>38.5</v>
      </c>
      <c r="AK11" s="883"/>
      <c r="AL11" s="871">
        <v>53.5</v>
      </c>
      <c r="AM11" s="888"/>
      <c r="AN11" s="862">
        <f t="shared" si="7"/>
        <v>53.5</v>
      </c>
      <c r="AO11" s="862">
        <f t="shared" si="7"/>
        <v>53.5</v>
      </c>
      <c r="AP11" s="883"/>
      <c r="AQ11" s="871">
        <v>31.75</v>
      </c>
      <c r="AR11" s="888"/>
      <c r="AS11" s="863">
        <f t="shared" si="8"/>
        <v>31.75</v>
      </c>
      <c r="AT11" s="863">
        <f t="shared" si="8"/>
        <v>31.75</v>
      </c>
      <c r="AU11" s="889"/>
      <c r="AV11" s="871">
        <v>31</v>
      </c>
      <c r="AW11" s="888"/>
      <c r="AX11" s="862">
        <f t="shared" si="9"/>
        <v>31</v>
      </c>
      <c r="AY11" s="862">
        <f t="shared" si="9"/>
        <v>31</v>
      </c>
      <c r="AZ11" s="883"/>
      <c r="BA11" s="871">
        <v>38</v>
      </c>
      <c r="BB11" s="888"/>
      <c r="BC11" s="862">
        <f t="shared" si="10"/>
        <v>38</v>
      </c>
      <c r="BD11" s="862">
        <f t="shared" si="10"/>
        <v>38</v>
      </c>
      <c r="BE11" s="883"/>
      <c r="BF11" s="871">
        <v>32</v>
      </c>
      <c r="BG11" s="888"/>
      <c r="BH11" s="863">
        <f t="shared" si="11"/>
        <v>32</v>
      </c>
      <c r="BI11" s="863">
        <f t="shared" si="11"/>
        <v>32</v>
      </c>
      <c r="BJ11" s="889"/>
      <c r="BK11" s="871">
        <v>32</v>
      </c>
      <c r="BL11" s="888"/>
      <c r="BM11" s="863">
        <f t="shared" si="12"/>
        <v>32</v>
      </c>
      <c r="BN11" s="863">
        <f t="shared" si="12"/>
        <v>32</v>
      </c>
      <c r="BO11" s="889"/>
      <c r="BP11" s="871">
        <v>33.25</v>
      </c>
      <c r="BQ11" s="888"/>
      <c r="BR11" s="862">
        <f t="shared" si="13"/>
        <v>33.25</v>
      </c>
      <c r="BS11" s="862">
        <f t="shared" si="13"/>
        <v>33.25</v>
      </c>
      <c r="BT11" s="883"/>
      <c r="BU11" s="871">
        <v>27</v>
      </c>
      <c r="BV11" s="888"/>
      <c r="BW11" s="862">
        <f t="shared" si="14"/>
        <v>27</v>
      </c>
      <c r="BX11" s="862">
        <f t="shared" si="14"/>
        <v>27</v>
      </c>
      <c r="BY11" s="883"/>
      <c r="BZ11" s="871">
        <v>295.26</v>
      </c>
      <c r="CA11" s="888"/>
      <c r="CB11" s="862">
        <f t="shared" si="15"/>
        <v>295.26</v>
      </c>
      <c r="CC11" s="862">
        <f t="shared" si="15"/>
        <v>295.26</v>
      </c>
      <c r="CD11" s="879">
        <f t="shared" si="21"/>
        <v>0</v>
      </c>
      <c r="CE11" s="879">
        <f t="shared" si="22"/>
        <v>1315.69</v>
      </c>
      <c r="CF11" s="879">
        <f t="shared" si="23"/>
        <v>-3</v>
      </c>
      <c r="CG11" s="879">
        <f t="shared" si="24"/>
        <v>1312.69</v>
      </c>
      <c r="CH11" s="879">
        <f t="shared" si="25"/>
        <v>1312.69</v>
      </c>
      <c r="CI11" s="891"/>
      <c r="CJ11" s="891"/>
      <c r="CK11" s="891"/>
      <c r="CL11" s="891"/>
      <c r="CM11" s="891"/>
      <c r="CN11" s="891"/>
      <c r="CO11" s="891"/>
      <c r="CP11" s="891"/>
    </row>
    <row r="12" spans="1:94" s="892" customFormat="1" ht="12" customHeight="1">
      <c r="A12" s="881" t="s">
        <v>698</v>
      </c>
      <c r="B12" s="881"/>
      <c r="C12" s="869"/>
      <c r="D12" s="888"/>
      <c r="E12" s="862">
        <v>215.93</v>
      </c>
      <c r="F12" s="862">
        <v>215.93</v>
      </c>
      <c r="G12" s="883"/>
      <c r="H12" s="869"/>
      <c r="I12" s="888"/>
      <c r="J12" s="862">
        <v>158.5</v>
      </c>
      <c r="K12" s="887">
        <v>158.5</v>
      </c>
      <c r="L12" s="883"/>
      <c r="M12" s="869"/>
      <c r="N12" s="888"/>
      <c r="O12" s="862">
        <v>150</v>
      </c>
      <c r="P12" s="887">
        <v>150</v>
      </c>
      <c r="Q12" s="883"/>
      <c r="R12" s="874"/>
      <c r="S12" s="888"/>
      <c r="T12" s="862">
        <v>109</v>
      </c>
      <c r="U12" s="862">
        <f>SUM(S12+T12)</f>
        <v>109</v>
      </c>
      <c r="V12" s="883"/>
      <c r="W12" s="871"/>
      <c r="X12" s="888"/>
      <c r="Y12" s="862">
        <v>27</v>
      </c>
      <c r="Z12" s="887">
        <v>27</v>
      </c>
      <c r="AA12" s="883"/>
      <c r="AB12" s="871"/>
      <c r="AC12" s="888"/>
      <c r="AD12" s="863">
        <v>43</v>
      </c>
      <c r="AE12" s="885">
        <v>43</v>
      </c>
      <c r="AF12" s="889"/>
      <c r="AG12" s="871"/>
      <c r="AH12" s="888"/>
      <c r="AI12" s="862">
        <v>38.5</v>
      </c>
      <c r="AJ12" s="887">
        <v>38.5</v>
      </c>
      <c r="AK12" s="883"/>
      <c r="AL12" s="871"/>
      <c r="AM12" s="888"/>
      <c r="AN12" s="862">
        <v>53.5</v>
      </c>
      <c r="AO12" s="887">
        <v>53.5</v>
      </c>
      <c r="AP12" s="883"/>
      <c r="AQ12" s="871"/>
      <c r="AR12" s="888"/>
      <c r="AS12" s="863">
        <v>31.75</v>
      </c>
      <c r="AT12" s="885">
        <v>31.75</v>
      </c>
      <c r="AU12" s="889"/>
      <c r="AV12" s="871"/>
      <c r="AW12" s="888"/>
      <c r="AX12" s="862">
        <v>31</v>
      </c>
      <c r="AY12" s="887">
        <v>31</v>
      </c>
      <c r="AZ12" s="883"/>
      <c r="BA12" s="871"/>
      <c r="BB12" s="888"/>
      <c r="BC12" s="862">
        <v>38</v>
      </c>
      <c r="BD12" s="887">
        <v>38</v>
      </c>
      <c r="BE12" s="883"/>
      <c r="BF12" s="871"/>
      <c r="BG12" s="888"/>
      <c r="BH12" s="863">
        <v>32</v>
      </c>
      <c r="BI12" s="885">
        <v>32</v>
      </c>
      <c r="BJ12" s="889"/>
      <c r="BK12" s="871"/>
      <c r="BL12" s="888"/>
      <c r="BM12" s="863">
        <v>32</v>
      </c>
      <c r="BN12" s="885">
        <v>32</v>
      </c>
      <c r="BO12" s="889"/>
      <c r="BP12" s="871"/>
      <c r="BQ12" s="888"/>
      <c r="BR12" s="862">
        <v>33.25</v>
      </c>
      <c r="BS12" s="887">
        <v>33.25</v>
      </c>
      <c r="BT12" s="883"/>
      <c r="BU12" s="871"/>
      <c r="BV12" s="888"/>
      <c r="BW12" s="862">
        <v>27</v>
      </c>
      <c r="BX12" s="887">
        <v>27</v>
      </c>
      <c r="BY12" s="883"/>
      <c r="BZ12" s="871"/>
      <c r="CA12" s="888"/>
      <c r="CB12" s="862">
        <v>295.26</v>
      </c>
      <c r="CC12" s="887">
        <v>295.26</v>
      </c>
      <c r="CD12" s="879">
        <f t="shared" si="21"/>
        <v>0</v>
      </c>
      <c r="CE12" s="879">
        <f t="shared" si="22"/>
        <v>0</v>
      </c>
      <c r="CF12" s="879">
        <f t="shared" si="23"/>
        <v>0</v>
      </c>
      <c r="CG12" s="879">
        <f t="shared" si="24"/>
        <v>1315.69</v>
      </c>
      <c r="CH12" s="879">
        <f t="shared" si="25"/>
        <v>1315.69</v>
      </c>
      <c r="CI12" s="891"/>
      <c r="CJ12" s="891"/>
      <c r="CK12" s="891"/>
      <c r="CL12" s="891"/>
      <c r="CM12" s="891"/>
      <c r="CN12" s="891"/>
      <c r="CO12" s="891"/>
      <c r="CP12" s="891"/>
    </row>
    <row r="13" spans="1:94" s="892" customFormat="1" ht="12" customHeight="1">
      <c r="A13" s="881"/>
      <c r="B13" s="881"/>
      <c r="C13" s="859"/>
      <c r="D13" s="862"/>
      <c r="E13" s="862"/>
      <c r="F13" s="862"/>
      <c r="G13" s="862"/>
      <c r="H13" s="859"/>
      <c r="I13" s="862"/>
      <c r="J13" s="862"/>
      <c r="K13" s="887"/>
      <c r="L13" s="862"/>
      <c r="M13" s="859"/>
      <c r="N13" s="862"/>
      <c r="O13" s="862"/>
      <c r="P13" s="887"/>
      <c r="Q13" s="862"/>
      <c r="R13" s="862"/>
      <c r="S13" s="862"/>
      <c r="T13" s="862"/>
      <c r="U13" s="862"/>
      <c r="V13" s="862"/>
      <c r="W13" s="862"/>
      <c r="X13" s="862"/>
      <c r="Y13" s="862"/>
      <c r="Z13" s="887"/>
      <c r="AA13" s="862"/>
      <c r="AB13" s="862"/>
      <c r="AC13" s="862"/>
      <c r="AD13" s="863"/>
      <c r="AE13" s="885"/>
      <c r="AF13" s="863"/>
      <c r="AG13" s="862"/>
      <c r="AH13" s="862"/>
      <c r="AI13" s="862"/>
      <c r="AJ13" s="887"/>
      <c r="AK13" s="862"/>
      <c r="AL13" s="871"/>
      <c r="AM13" s="862"/>
      <c r="AN13" s="862"/>
      <c r="AO13" s="887"/>
      <c r="AP13" s="862"/>
      <c r="AQ13" s="862"/>
      <c r="AR13" s="862"/>
      <c r="AS13" s="863"/>
      <c r="AT13" s="885"/>
      <c r="AU13" s="863"/>
      <c r="AV13" s="862"/>
      <c r="AW13" s="862"/>
      <c r="AX13" s="862"/>
      <c r="AY13" s="887"/>
      <c r="AZ13" s="862"/>
      <c r="BA13" s="862"/>
      <c r="BB13" s="862"/>
      <c r="BC13" s="862"/>
      <c r="BD13" s="887"/>
      <c r="BE13" s="862"/>
      <c r="BF13" s="862"/>
      <c r="BG13" s="862"/>
      <c r="BH13" s="863"/>
      <c r="BI13" s="885"/>
      <c r="BJ13" s="863"/>
      <c r="BK13" s="862"/>
      <c r="BL13" s="862"/>
      <c r="BM13" s="863"/>
      <c r="BN13" s="885"/>
      <c r="BO13" s="863"/>
      <c r="BP13" s="862"/>
      <c r="BQ13" s="862"/>
      <c r="BR13" s="862"/>
      <c r="BS13" s="887"/>
      <c r="BT13" s="862"/>
      <c r="BU13" s="862"/>
      <c r="BV13" s="862"/>
      <c r="BW13" s="862"/>
      <c r="BX13" s="887"/>
      <c r="BY13" s="862"/>
      <c r="BZ13" s="862"/>
      <c r="CA13" s="862"/>
      <c r="CB13" s="862"/>
      <c r="CC13" s="887"/>
      <c r="CD13" s="864"/>
      <c r="CE13" s="865"/>
      <c r="CF13" s="865"/>
      <c r="CG13" s="893"/>
      <c r="CH13" s="864"/>
      <c r="CI13" s="891"/>
      <c r="CJ13" s="891"/>
      <c r="CK13" s="891"/>
      <c r="CL13" s="891"/>
      <c r="CM13" s="891"/>
      <c r="CN13" s="891"/>
      <c r="CO13" s="891"/>
      <c r="CP13" s="891"/>
    </row>
    <row r="14" spans="1:94" s="892" customFormat="1" ht="12" customHeight="1">
      <c r="A14" s="881" t="s">
        <v>699</v>
      </c>
      <c r="B14" s="881"/>
      <c r="C14" s="859"/>
      <c r="D14" s="862"/>
      <c r="E14" s="862"/>
      <c r="F14" s="862"/>
      <c r="G14" s="862"/>
      <c r="H14" s="859"/>
      <c r="I14" s="862"/>
      <c r="J14" s="862"/>
      <c r="K14" s="887"/>
      <c r="L14" s="862"/>
      <c r="M14" s="859"/>
      <c r="N14" s="862"/>
      <c r="O14" s="862"/>
      <c r="P14" s="887"/>
      <c r="Q14" s="862"/>
      <c r="R14" s="862"/>
      <c r="S14" s="862"/>
      <c r="T14" s="862"/>
      <c r="U14" s="862"/>
      <c r="V14" s="862"/>
      <c r="W14" s="862"/>
      <c r="X14" s="862"/>
      <c r="Y14" s="862"/>
      <c r="Z14" s="887"/>
      <c r="AA14" s="862"/>
      <c r="AB14" s="862"/>
      <c r="AC14" s="862"/>
      <c r="AD14" s="863"/>
      <c r="AE14" s="885"/>
      <c r="AF14" s="863"/>
      <c r="AG14" s="862"/>
      <c r="AH14" s="862"/>
      <c r="AI14" s="862"/>
      <c r="AJ14" s="887"/>
      <c r="AK14" s="862"/>
      <c r="AL14" s="871"/>
      <c r="AM14" s="862"/>
      <c r="AN14" s="862"/>
      <c r="AO14" s="887"/>
      <c r="AP14" s="862"/>
      <c r="AQ14" s="862"/>
      <c r="AR14" s="862"/>
      <c r="AS14" s="863"/>
      <c r="AT14" s="885"/>
      <c r="AU14" s="863"/>
      <c r="AV14" s="862"/>
      <c r="AW14" s="862"/>
      <c r="AX14" s="862"/>
      <c r="AY14" s="887"/>
      <c r="AZ14" s="862"/>
      <c r="BA14" s="862"/>
      <c r="BB14" s="862"/>
      <c r="BC14" s="862"/>
      <c r="BD14" s="887"/>
      <c r="BE14" s="862"/>
      <c r="BF14" s="862"/>
      <c r="BG14" s="862"/>
      <c r="BH14" s="863"/>
      <c r="BI14" s="885"/>
      <c r="BJ14" s="863"/>
      <c r="BK14" s="862"/>
      <c r="BL14" s="862"/>
      <c r="BM14" s="863"/>
      <c r="BN14" s="885"/>
      <c r="BO14" s="863"/>
      <c r="BP14" s="862"/>
      <c r="BQ14" s="862"/>
      <c r="BR14" s="862"/>
      <c r="BS14" s="887"/>
      <c r="BT14" s="862"/>
      <c r="BU14" s="862"/>
      <c r="BV14" s="862"/>
      <c r="BW14" s="862"/>
      <c r="BX14" s="887"/>
      <c r="BY14" s="862"/>
      <c r="BZ14" s="862"/>
      <c r="CA14" s="862"/>
      <c r="CB14" s="862"/>
      <c r="CC14" s="887"/>
      <c r="CD14" s="864"/>
      <c r="CE14" s="865"/>
      <c r="CF14" s="865"/>
      <c r="CG14" s="893"/>
      <c r="CH14" s="864"/>
      <c r="CI14" s="891"/>
      <c r="CJ14" s="891"/>
      <c r="CK14" s="891"/>
      <c r="CL14" s="891"/>
      <c r="CM14" s="891"/>
      <c r="CN14" s="891"/>
      <c r="CO14" s="891"/>
      <c r="CP14" s="891"/>
    </row>
    <row r="15" spans="1:94" s="895" customFormat="1" ht="14.25" customHeight="1">
      <c r="A15" s="881" t="s">
        <v>699</v>
      </c>
      <c r="B15" s="858"/>
      <c r="C15" s="859"/>
      <c r="D15" s="862"/>
      <c r="E15" s="862"/>
      <c r="F15" s="862"/>
      <c r="G15" s="862"/>
      <c r="H15" s="859"/>
      <c r="I15" s="862"/>
      <c r="J15" s="862"/>
      <c r="K15" s="887"/>
      <c r="L15" s="862"/>
      <c r="M15" s="859"/>
      <c r="N15" s="862"/>
      <c r="O15" s="862"/>
      <c r="P15" s="887"/>
      <c r="Q15" s="862"/>
      <c r="R15" s="862"/>
      <c r="S15" s="862"/>
      <c r="T15" s="862"/>
      <c r="U15" s="862"/>
      <c r="V15" s="862"/>
      <c r="W15" s="894"/>
      <c r="X15" s="862"/>
      <c r="Y15" s="862"/>
      <c r="Z15" s="887"/>
      <c r="AA15" s="862"/>
      <c r="AB15" s="862"/>
      <c r="AC15" s="862"/>
      <c r="AD15" s="863"/>
      <c r="AE15" s="885"/>
      <c r="AF15" s="863"/>
      <c r="AG15" s="894"/>
      <c r="AH15" s="862"/>
      <c r="AI15" s="862"/>
      <c r="AJ15" s="887"/>
      <c r="AK15" s="862"/>
      <c r="AL15" s="871">
        <v>0</v>
      </c>
      <c r="AM15" s="862"/>
      <c r="AN15" s="862"/>
      <c r="AO15" s="887"/>
      <c r="AP15" s="862"/>
      <c r="AQ15" s="894"/>
      <c r="AR15" s="862"/>
      <c r="AS15" s="863"/>
      <c r="AT15" s="885"/>
      <c r="AU15" s="863"/>
      <c r="AV15" s="894"/>
      <c r="AW15" s="862"/>
      <c r="AX15" s="862"/>
      <c r="AY15" s="887"/>
      <c r="AZ15" s="862"/>
      <c r="BA15" s="894"/>
      <c r="BB15" s="862"/>
      <c r="BC15" s="862"/>
      <c r="BD15" s="887"/>
      <c r="BE15" s="862"/>
      <c r="BF15" s="894"/>
      <c r="BG15" s="862"/>
      <c r="BH15" s="862"/>
      <c r="BI15" s="887"/>
      <c r="BJ15" s="862"/>
      <c r="BK15" s="894"/>
      <c r="BL15" s="862"/>
      <c r="BM15" s="862"/>
      <c r="BN15" s="887"/>
      <c r="BO15" s="862"/>
      <c r="BP15" s="894"/>
      <c r="BQ15" s="862"/>
      <c r="BR15" s="862"/>
      <c r="BS15" s="887"/>
      <c r="BT15" s="862"/>
      <c r="BU15" s="894"/>
      <c r="BV15" s="862"/>
      <c r="BW15" s="862"/>
      <c r="BX15" s="887"/>
      <c r="BY15" s="862"/>
      <c r="BZ15" s="894"/>
      <c r="CA15" s="862"/>
      <c r="CB15" s="862"/>
      <c r="CC15" s="887"/>
      <c r="CD15" s="864"/>
      <c r="CE15" s="865"/>
      <c r="CF15" s="865"/>
      <c r="CG15" s="893"/>
      <c r="CH15" s="864"/>
      <c r="CI15" s="891"/>
      <c r="CJ15" s="891"/>
      <c r="CK15" s="891"/>
      <c r="CL15" s="891"/>
      <c r="CM15" s="891"/>
      <c r="CN15" s="891"/>
      <c r="CO15" s="891"/>
      <c r="CP15" s="891"/>
    </row>
    <row r="16" spans="1:94" s="895" customFormat="1" ht="14.25" customHeight="1">
      <c r="A16" s="881"/>
      <c r="B16" s="858"/>
      <c r="C16" s="859"/>
      <c r="D16" s="862"/>
      <c r="E16" s="862"/>
      <c r="F16" s="862"/>
      <c r="G16" s="862"/>
      <c r="H16" s="859"/>
      <c r="I16" s="862"/>
      <c r="J16" s="862"/>
      <c r="K16" s="887"/>
      <c r="L16" s="862"/>
      <c r="M16" s="859"/>
      <c r="N16" s="862"/>
      <c r="O16" s="862"/>
      <c r="P16" s="887"/>
      <c r="Q16" s="862"/>
      <c r="R16" s="862"/>
      <c r="S16" s="862"/>
      <c r="T16" s="862"/>
      <c r="U16" s="862"/>
      <c r="V16" s="862"/>
      <c r="W16" s="894"/>
      <c r="X16" s="862"/>
      <c r="Y16" s="862"/>
      <c r="Z16" s="887"/>
      <c r="AA16" s="862"/>
      <c r="AB16" s="862"/>
      <c r="AC16" s="862"/>
      <c r="AD16" s="863"/>
      <c r="AE16" s="885"/>
      <c r="AF16" s="863"/>
      <c r="AG16" s="894"/>
      <c r="AH16" s="862"/>
      <c r="AI16" s="862"/>
      <c r="AJ16" s="887"/>
      <c r="AK16" s="862"/>
      <c r="AL16" s="894"/>
      <c r="AM16" s="862"/>
      <c r="AN16" s="862"/>
      <c r="AO16" s="887"/>
      <c r="AP16" s="862"/>
      <c r="AQ16" s="894"/>
      <c r="AR16" s="862"/>
      <c r="AS16" s="863"/>
      <c r="AT16" s="885"/>
      <c r="AU16" s="863"/>
      <c r="AV16" s="894"/>
      <c r="AW16" s="862"/>
      <c r="AX16" s="862"/>
      <c r="AY16" s="887"/>
      <c r="AZ16" s="862"/>
      <c r="BA16" s="894"/>
      <c r="BB16" s="862"/>
      <c r="BC16" s="862"/>
      <c r="BD16" s="887"/>
      <c r="BE16" s="862"/>
      <c r="BF16" s="894"/>
      <c r="BG16" s="862"/>
      <c r="BH16" s="862"/>
      <c r="BI16" s="887"/>
      <c r="BJ16" s="862"/>
      <c r="BK16" s="894"/>
      <c r="BL16" s="862"/>
      <c r="BM16" s="862"/>
      <c r="BN16" s="887"/>
      <c r="BO16" s="862"/>
      <c r="BP16" s="894"/>
      <c r="BQ16" s="862"/>
      <c r="BR16" s="862"/>
      <c r="BS16" s="887"/>
      <c r="BT16" s="862"/>
      <c r="BU16" s="894"/>
      <c r="BV16" s="862"/>
      <c r="BW16" s="862"/>
      <c r="BX16" s="887"/>
      <c r="BY16" s="862"/>
      <c r="BZ16" s="894"/>
      <c r="CA16" s="862"/>
      <c r="CB16" s="862"/>
      <c r="CC16" s="887"/>
      <c r="CD16" s="864"/>
      <c r="CE16" s="865"/>
      <c r="CF16" s="865"/>
      <c r="CG16" s="893"/>
      <c r="CH16" s="864"/>
      <c r="CI16" s="891"/>
      <c r="CJ16" s="891"/>
      <c r="CK16" s="891"/>
      <c r="CL16" s="891"/>
      <c r="CM16" s="891"/>
      <c r="CN16" s="891"/>
      <c r="CO16" s="891"/>
      <c r="CP16" s="891"/>
    </row>
    <row r="17" spans="1:86" ht="13.5" customHeight="1">
      <c r="A17" s="832" t="s">
        <v>700</v>
      </c>
      <c r="B17" s="832"/>
      <c r="C17" s="896"/>
      <c r="D17" s="897"/>
      <c r="E17" s="898"/>
      <c r="F17" s="899"/>
      <c r="G17" s="899"/>
      <c r="H17" s="896"/>
      <c r="I17" s="897"/>
      <c r="J17" s="898"/>
      <c r="K17" s="900"/>
      <c r="L17" s="899"/>
      <c r="M17" s="896"/>
      <c r="N17" s="897"/>
      <c r="O17" s="898"/>
      <c r="P17" s="900"/>
      <c r="Q17" s="899"/>
      <c r="R17" s="896"/>
      <c r="S17" s="897"/>
      <c r="T17" s="898"/>
      <c r="U17" s="899"/>
      <c r="V17" s="899"/>
      <c r="W17" s="901"/>
      <c r="X17" s="452"/>
      <c r="Y17" s="902"/>
      <c r="Z17" s="900"/>
      <c r="AA17" s="903"/>
      <c r="AB17" s="901"/>
      <c r="AC17" s="452"/>
      <c r="AD17" s="902"/>
      <c r="AE17" s="900"/>
      <c r="AF17" s="903"/>
      <c r="AG17" s="901"/>
      <c r="AH17" s="452"/>
      <c r="AI17" s="902"/>
      <c r="AJ17" s="900"/>
      <c r="AK17" s="903"/>
      <c r="AL17" s="901"/>
      <c r="AM17" s="452"/>
      <c r="AN17" s="902"/>
      <c r="AO17" s="900"/>
      <c r="AP17" s="903"/>
      <c r="AQ17" s="901"/>
      <c r="AR17" s="452"/>
      <c r="AS17" s="902"/>
      <c r="AT17" s="900"/>
      <c r="AU17" s="903"/>
      <c r="AV17" s="901"/>
      <c r="AW17" s="452"/>
      <c r="AX17" s="902"/>
      <c r="AY17" s="900"/>
      <c r="AZ17" s="903"/>
      <c r="BA17" s="901"/>
      <c r="BB17" s="452"/>
      <c r="BC17" s="902"/>
      <c r="BD17" s="900"/>
      <c r="BE17" s="903"/>
      <c r="BF17" s="901"/>
      <c r="BG17" s="452"/>
      <c r="BH17" s="902"/>
      <c r="BI17" s="900"/>
      <c r="BJ17" s="903"/>
      <c r="BK17" s="901"/>
      <c r="BL17" s="452"/>
      <c r="BM17" s="902"/>
      <c r="BN17" s="900"/>
      <c r="BO17" s="903"/>
      <c r="BP17" s="901"/>
      <c r="BQ17" s="452"/>
      <c r="BR17" s="902"/>
      <c r="BS17" s="900"/>
      <c r="BT17" s="903"/>
      <c r="BU17" s="901"/>
      <c r="BV17" s="452"/>
      <c r="BW17" s="902"/>
      <c r="BX17" s="900"/>
      <c r="BY17" s="902"/>
      <c r="BZ17" s="901"/>
      <c r="CA17" s="452"/>
      <c r="CB17" s="902"/>
      <c r="CC17" s="900"/>
      <c r="CD17" s="904"/>
      <c r="CE17" s="905"/>
      <c r="CF17" s="905"/>
      <c r="CG17" s="906"/>
      <c r="CH17" s="904"/>
    </row>
    <row r="18" spans="1:86" s="634" customFormat="1" ht="13.5" hidden="1" customHeight="1">
      <c r="A18" s="380" t="s">
        <v>11</v>
      </c>
      <c r="B18" s="380"/>
      <c r="C18" s="907"/>
      <c r="D18" s="908"/>
      <c r="E18" s="909">
        <f>SUM(C18+D18)</f>
        <v>0</v>
      </c>
      <c r="F18" s="909"/>
      <c r="G18" s="909"/>
      <c r="H18" s="907"/>
      <c r="I18" s="908"/>
      <c r="J18" s="909">
        <f>SUM(H18+I18)</f>
        <v>0</v>
      </c>
      <c r="K18" s="910"/>
      <c r="L18" s="909"/>
      <c r="M18" s="907"/>
      <c r="N18" s="908"/>
      <c r="O18" s="909">
        <f>SUM(M18+N18)</f>
        <v>0</v>
      </c>
      <c r="P18" s="910"/>
      <c r="Q18" s="909"/>
      <c r="R18" s="907"/>
      <c r="S18" s="908"/>
      <c r="T18" s="909">
        <f>SUM(R18+S18)</f>
        <v>0</v>
      </c>
      <c r="U18" s="909"/>
      <c r="V18" s="909"/>
      <c r="W18" s="912"/>
      <c r="X18" s="913"/>
      <c r="Y18" s="914">
        <f>SUM(W18+X18)</f>
        <v>0</v>
      </c>
      <c r="Z18" s="910"/>
      <c r="AA18" s="914"/>
      <c r="AB18" s="912"/>
      <c r="AC18" s="913"/>
      <c r="AD18" s="914">
        <f>SUM(AB18+AC18)</f>
        <v>0</v>
      </c>
      <c r="AE18" s="910"/>
      <c r="AF18" s="914"/>
      <c r="AG18" s="912"/>
      <c r="AH18" s="913"/>
      <c r="AI18" s="914">
        <f>SUM(AG18+AH18)</f>
        <v>0</v>
      </c>
      <c r="AJ18" s="910"/>
      <c r="AK18" s="914"/>
      <c r="AL18" s="912"/>
      <c r="AM18" s="913"/>
      <c r="AN18" s="914">
        <f>SUM(AL18+AM18)</f>
        <v>0</v>
      </c>
      <c r="AO18" s="910"/>
      <c r="AP18" s="914"/>
      <c r="AQ18" s="912"/>
      <c r="AR18" s="913"/>
      <c r="AS18" s="914">
        <f>SUM(AQ18+AR18)</f>
        <v>0</v>
      </c>
      <c r="AT18" s="910"/>
      <c r="AU18" s="914"/>
      <c r="AV18" s="912"/>
      <c r="AW18" s="913"/>
      <c r="AX18" s="914">
        <f>SUM(AV18+AW18)</f>
        <v>0</v>
      </c>
      <c r="AY18" s="910"/>
      <c r="AZ18" s="914"/>
      <c r="BA18" s="912"/>
      <c r="BB18" s="913"/>
      <c r="BC18" s="914">
        <f>SUM(BA18+BB18)</f>
        <v>0</v>
      </c>
      <c r="BD18" s="910"/>
      <c r="BE18" s="914"/>
      <c r="BF18" s="912"/>
      <c r="BG18" s="913"/>
      <c r="BH18" s="914">
        <f>SUM(BF18+BG18)</f>
        <v>0</v>
      </c>
      <c r="BI18" s="910"/>
      <c r="BJ18" s="914"/>
      <c r="BK18" s="912"/>
      <c r="BL18" s="913"/>
      <c r="BM18" s="914">
        <f>SUM(BK18+BL18)</f>
        <v>0</v>
      </c>
      <c r="BN18" s="910"/>
      <c r="BO18" s="914"/>
      <c r="BP18" s="912"/>
      <c r="BQ18" s="913"/>
      <c r="BR18" s="914">
        <f>SUM(BP18+BQ18)</f>
        <v>0</v>
      </c>
      <c r="BS18" s="910"/>
      <c r="BT18" s="914"/>
      <c r="BU18" s="912"/>
      <c r="BV18" s="913"/>
      <c r="BW18" s="914">
        <f>SUM(BU18+BV18)</f>
        <v>0</v>
      </c>
      <c r="BX18" s="910"/>
      <c r="BY18" s="914"/>
      <c r="BZ18" s="912"/>
      <c r="CA18" s="913"/>
      <c r="CB18" s="914">
        <f>SUM(BZ18+CA18)</f>
        <v>0</v>
      </c>
      <c r="CC18" s="910"/>
      <c r="CD18" s="915">
        <f t="shared" ref="CD18:CD34" si="26">SUM(B18+G18+L18+Q18+V18+AA18+AF18+AK18+AP18+AU18+AZ18+BE18+BJ18+BO18+BT18+BY18)</f>
        <v>0</v>
      </c>
      <c r="CE18" s="916">
        <f t="shared" ref="CE18:CE34" si="27">SUM(C18+H18+M18+R18+W18+AB18+AG18+AL18+AQ18+AV18+BA18+BF18+BK18+BP18+BU18+BZ18)</f>
        <v>0</v>
      </c>
      <c r="CF18" s="917">
        <f t="shared" ref="CF18:CF34" si="28">SUM(D18+I18+N18+S18+X18+AC18+AH18+AM18+AR18+AW18+BB18+BG18+BL18+BQ18+BV18+CA18)</f>
        <v>0</v>
      </c>
      <c r="CG18" s="916">
        <f>SUM(CE18+CF18)</f>
        <v>0</v>
      </c>
      <c r="CH18" s="915"/>
    </row>
    <row r="19" spans="1:86" s="634" customFormat="1" ht="13.5" customHeight="1">
      <c r="A19" s="380" t="s">
        <v>701</v>
      </c>
      <c r="B19" s="907">
        <v>641184152</v>
      </c>
      <c r="C19" s="907">
        <v>643923748</v>
      </c>
      <c r="D19" s="908">
        <v>2444837</v>
      </c>
      <c r="E19" s="909">
        <v>678056858</v>
      </c>
      <c r="F19" s="909">
        <v>657872283</v>
      </c>
      <c r="G19" s="907">
        <v>310002918</v>
      </c>
      <c r="H19" s="907">
        <v>315919923</v>
      </c>
      <c r="I19" s="908">
        <v>7302918</v>
      </c>
      <c r="J19" s="909">
        <v>350743071</v>
      </c>
      <c r="K19" s="910">
        <v>337404771</v>
      </c>
      <c r="L19" s="907">
        <v>317018887</v>
      </c>
      <c r="M19" s="907">
        <v>328906003</v>
      </c>
      <c r="N19" s="908">
        <v>6218137</v>
      </c>
      <c r="O19" s="909">
        <v>362405940</v>
      </c>
      <c r="P19" s="910">
        <v>346442265</v>
      </c>
      <c r="Q19" s="907">
        <v>253629100</v>
      </c>
      <c r="R19" s="907">
        <v>253909800</v>
      </c>
      <c r="S19" s="908">
        <v>6474067</v>
      </c>
      <c r="T19" s="909">
        <v>266922285</v>
      </c>
      <c r="U19" s="909">
        <v>257702903</v>
      </c>
      <c r="V19" s="912">
        <v>77075298</v>
      </c>
      <c r="W19" s="912">
        <v>77081898</v>
      </c>
      <c r="X19" s="913">
        <v>1253843</v>
      </c>
      <c r="Y19" s="914">
        <v>79956928</v>
      </c>
      <c r="Z19" s="910">
        <v>78767484</v>
      </c>
      <c r="AA19" s="912">
        <v>121194474</v>
      </c>
      <c r="AB19" s="912">
        <v>121441924</v>
      </c>
      <c r="AC19" s="913">
        <v>-669590</v>
      </c>
      <c r="AD19" s="914">
        <v>122485952</v>
      </c>
      <c r="AE19" s="910">
        <v>122156037</v>
      </c>
      <c r="AF19" s="912">
        <v>110545790</v>
      </c>
      <c r="AG19" s="912">
        <v>110789057</v>
      </c>
      <c r="AH19" s="913">
        <v>706118</v>
      </c>
      <c r="AI19" s="914">
        <v>113122581</v>
      </c>
      <c r="AJ19" s="910">
        <v>112117850</v>
      </c>
      <c r="AK19" s="912">
        <v>155520088</v>
      </c>
      <c r="AL19" s="912">
        <v>155582688</v>
      </c>
      <c r="AM19" s="913">
        <v>1487768</v>
      </c>
      <c r="AN19" s="914">
        <v>160672874</v>
      </c>
      <c r="AO19" s="910">
        <v>158739233</v>
      </c>
      <c r="AP19" s="912">
        <v>86988546</v>
      </c>
      <c r="AQ19" s="912">
        <v>87005546</v>
      </c>
      <c r="AR19" s="913">
        <v>-173792</v>
      </c>
      <c r="AS19" s="914">
        <v>87924253</v>
      </c>
      <c r="AT19" s="910">
        <v>85918828</v>
      </c>
      <c r="AU19" s="912">
        <v>86631655</v>
      </c>
      <c r="AV19" s="912">
        <v>87515539</v>
      </c>
      <c r="AW19" s="913">
        <v>999477</v>
      </c>
      <c r="AX19" s="914">
        <v>89543433</v>
      </c>
      <c r="AY19" s="910">
        <v>88967218</v>
      </c>
      <c r="AZ19" s="912">
        <v>111827157</v>
      </c>
      <c r="BA19" s="912">
        <v>113338092</v>
      </c>
      <c r="BB19" s="913">
        <v>1570756</v>
      </c>
      <c r="BC19" s="914">
        <v>117662917</v>
      </c>
      <c r="BD19" s="910">
        <v>117469025</v>
      </c>
      <c r="BE19" s="912">
        <v>94651024</v>
      </c>
      <c r="BF19" s="918">
        <v>94852766</v>
      </c>
      <c r="BG19" s="913">
        <v>333157</v>
      </c>
      <c r="BH19" s="914">
        <v>95568944</v>
      </c>
      <c r="BI19" s="910">
        <v>89862307</v>
      </c>
      <c r="BJ19" s="912">
        <v>97419599</v>
      </c>
      <c r="BK19" s="912">
        <v>97769267</v>
      </c>
      <c r="BL19" s="913">
        <v>909087</v>
      </c>
      <c r="BM19" s="914">
        <v>101335152</v>
      </c>
      <c r="BN19" s="910">
        <v>98686820</v>
      </c>
      <c r="BO19" s="912">
        <v>91712260</v>
      </c>
      <c r="BP19" s="912">
        <v>91830260</v>
      </c>
      <c r="BQ19" s="913">
        <v>1187190</v>
      </c>
      <c r="BR19" s="914">
        <v>94349282</v>
      </c>
      <c r="BS19" s="910">
        <v>94299594</v>
      </c>
      <c r="BT19" s="912">
        <v>73741910</v>
      </c>
      <c r="BU19" s="912">
        <v>73772604</v>
      </c>
      <c r="BV19" s="913">
        <v>882134</v>
      </c>
      <c r="BW19" s="914">
        <v>75798772</v>
      </c>
      <c r="BX19" s="910">
        <v>75621024</v>
      </c>
      <c r="BY19" s="912">
        <v>631882415</v>
      </c>
      <c r="BZ19" s="912">
        <v>673470379</v>
      </c>
      <c r="CA19" s="913">
        <v>2057734</v>
      </c>
      <c r="CB19" s="914">
        <v>683326038</v>
      </c>
      <c r="CC19" s="910">
        <v>670684331</v>
      </c>
      <c r="CD19" s="915">
        <f t="shared" si="26"/>
        <v>3261025273</v>
      </c>
      <c r="CE19" s="916">
        <f t="shared" si="27"/>
        <v>3327109494</v>
      </c>
      <c r="CF19" s="917">
        <f t="shared" si="28"/>
        <v>32983841</v>
      </c>
      <c r="CG19" s="916">
        <f t="shared" ref="CG19:CG31" si="29">SUM(E19+J19+O19+T19+Y19+AD19+AI19+AN19+AS19+AX19+BC19+BH19+BM19+BR19+BW19+CB19)</f>
        <v>3479875280</v>
      </c>
      <c r="CH19" s="916">
        <f t="shared" ref="CH19:CH31" si="30">SUM(F19+K19+P19+U19+Z19+AE19+AJ19+AO19+AT19+AY19+BD19+BI19+BN19+BS19+BX19+CC19)</f>
        <v>3392711973</v>
      </c>
    </row>
    <row r="20" spans="1:86" s="634" customFormat="1" ht="15" customHeight="1">
      <c r="A20" s="380" t="s">
        <v>702</v>
      </c>
      <c r="B20" s="907">
        <v>33219000</v>
      </c>
      <c r="C20" s="907">
        <v>33219000</v>
      </c>
      <c r="D20" s="908"/>
      <c r="E20" s="909">
        <v>33734521</v>
      </c>
      <c r="F20" s="909">
        <v>33696714</v>
      </c>
      <c r="G20" s="907"/>
      <c r="H20" s="907"/>
      <c r="I20" s="908"/>
      <c r="J20" s="909">
        <f>SUM(H20+I20)</f>
        <v>0</v>
      </c>
      <c r="K20" s="910"/>
      <c r="L20" s="907">
        <v>13205000</v>
      </c>
      <c r="M20" s="907">
        <v>14173000</v>
      </c>
      <c r="N20" s="908"/>
      <c r="O20" s="909">
        <v>17414132</v>
      </c>
      <c r="P20" s="910">
        <v>13489016</v>
      </c>
      <c r="Q20" s="907">
        <v>30749000</v>
      </c>
      <c r="R20" s="907">
        <v>30749000</v>
      </c>
      <c r="S20" s="908"/>
      <c r="T20" s="909">
        <f>SUM(R20+S20)</f>
        <v>30749000</v>
      </c>
      <c r="U20" s="909">
        <v>27082800</v>
      </c>
      <c r="V20" s="912"/>
      <c r="W20" s="912"/>
      <c r="X20" s="913"/>
      <c r="Y20" s="914">
        <f>SUM(W20+X20)</f>
        <v>0</v>
      </c>
      <c r="Z20" s="910"/>
      <c r="AA20" s="912"/>
      <c r="AB20" s="912"/>
      <c r="AC20" s="913"/>
      <c r="AD20" s="914">
        <f>SUM(AB20+AC20)</f>
        <v>0</v>
      </c>
      <c r="AE20" s="910"/>
      <c r="AF20" s="912"/>
      <c r="AG20" s="912"/>
      <c r="AH20" s="913"/>
      <c r="AI20" s="914">
        <f>SUM(AG20+AH20)</f>
        <v>0</v>
      </c>
      <c r="AJ20" s="910"/>
      <c r="AK20" s="912"/>
      <c r="AL20" s="912"/>
      <c r="AM20" s="913"/>
      <c r="AN20" s="914">
        <v>1031</v>
      </c>
      <c r="AO20" s="910">
        <v>1031</v>
      </c>
      <c r="AP20" s="912"/>
      <c r="AQ20" s="912"/>
      <c r="AR20" s="913"/>
      <c r="AS20" s="914">
        <f>SUM(AQ20+AR20)</f>
        <v>0</v>
      </c>
      <c r="AT20" s="910"/>
      <c r="AU20" s="912"/>
      <c r="AV20" s="912"/>
      <c r="AW20" s="913"/>
      <c r="AX20" s="914">
        <f>SUM(AV20+AW20)</f>
        <v>0</v>
      </c>
      <c r="AY20" s="910"/>
      <c r="AZ20" s="912"/>
      <c r="BA20" s="912"/>
      <c r="BB20" s="913"/>
      <c r="BC20" s="914">
        <f>SUM(BA20+BB20)</f>
        <v>0</v>
      </c>
      <c r="BD20" s="910"/>
      <c r="BE20" s="912"/>
      <c r="BF20" s="918"/>
      <c r="BG20" s="913"/>
      <c r="BH20" s="914">
        <f>SUM(BF20+BG20)</f>
        <v>0</v>
      </c>
      <c r="BI20" s="910"/>
      <c r="BJ20" s="912"/>
      <c r="BK20" s="912"/>
      <c r="BL20" s="913"/>
      <c r="BM20" s="914">
        <f>SUM(BK20+BL20)</f>
        <v>0</v>
      </c>
      <c r="BN20" s="910"/>
      <c r="BO20" s="912"/>
      <c r="BP20" s="912"/>
      <c r="BQ20" s="913"/>
      <c r="BR20" s="914">
        <f>SUM(BP20+BQ20)</f>
        <v>0</v>
      </c>
      <c r="BS20" s="910"/>
      <c r="BT20" s="912"/>
      <c r="BU20" s="912">
        <v>5906</v>
      </c>
      <c r="BV20" s="913"/>
      <c r="BW20" s="914">
        <f>SUM(BU20+BV20)</f>
        <v>5906</v>
      </c>
      <c r="BX20" s="910">
        <v>5906</v>
      </c>
      <c r="BY20" s="912">
        <v>1367000</v>
      </c>
      <c r="BZ20" s="912">
        <v>2324000</v>
      </c>
      <c r="CA20" s="913"/>
      <c r="CB20" s="914">
        <v>6825689</v>
      </c>
      <c r="CC20" s="910">
        <v>4841233</v>
      </c>
      <c r="CD20" s="915">
        <f t="shared" si="26"/>
        <v>78540000</v>
      </c>
      <c r="CE20" s="916">
        <f t="shared" si="27"/>
        <v>80470906</v>
      </c>
      <c r="CF20" s="917">
        <f t="shared" si="28"/>
        <v>0</v>
      </c>
      <c r="CG20" s="916">
        <f t="shared" si="29"/>
        <v>88730279</v>
      </c>
      <c r="CH20" s="916">
        <f t="shared" si="30"/>
        <v>79116700</v>
      </c>
    </row>
    <row r="21" spans="1:86" s="634" customFormat="1" ht="15" customHeight="1">
      <c r="A21" s="919" t="s">
        <v>703</v>
      </c>
      <c r="B21" s="907">
        <v>185893551</v>
      </c>
      <c r="C21" s="907">
        <v>186477153</v>
      </c>
      <c r="D21" s="908">
        <v>627850</v>
      </c>
      <c r="E21" s="909">
        <v>195804384</v>
      </c>
      <c r="F21" s="909">
        <v>191187510</v>
      </c>
      <c r="G21" s="907">
        <v>91568484</v>
      </c>
      <c r="H21" s="907">
        <v>93787549</v>
      </c>
      <c r="I21" s="908">
        <v>1971788</v>
      </c>
      <c r="J21" s="909">
        <v>103133844</v>
      </c>
      <c r="K21" s="910">
        <v>99922208</v>
      </c>
      <c r="L21" s="907">
        <v>92613765</v>
      </c>
      <c r="M21" s="907">
        <v>96813256</v>
      </c>
      <c r="N21" s="908">
        <v>1665397</v>
      </c>
      <c r="O21" s="909">
        <v>104538624</v>
      </c>
      <c r="P21" s="910">
        <v>100431876</v>
      </c>
      <c r="Q21" s="907">
        <v>78418717</v>
      </c>
      <c r="R21" s="907">
        <v>78481006</v>
      </c>
      <c r="S21" s="908">
        <v>1734498</v>
      </c>
      <c r="T21" s="909">
        <v>81994093</v>
      </c>
      <c r="U21" s="909">
        <v>81294331</v>
      </c>
      <c r="V21" s="912">
        <v>21962752</v>
      </c>
      <c r="W21" s="912">
        <v>22081416</v>
      </c>
      <c r="X21" s="913">
        <v>338538</v>
      </c>
      <c r="Y21" s="914">
        <v>22867137</v>
      </c>
      <c r="Z21" s="910">
        <v>22701371</v>
      </c>
      <c r="AA21" s="912">
        <v>34963839</v>
      </c>
      <c r="AB21" s="912">
        <v>35205060</v>
      </c>
      <c r="AC21" s="913">
        <v>-187098</v>
      </c>
      <c r="AD21" s="914">
        <v>35623411</v>
      </c>
      <c r="AE21" s="910">
        <v>35496736</v>
      </c>
      <c r="AF21" s="912">
        <v>31950167</v>
      </c>
      <c r="AG21" s="912">
        <v>32271575</v>
      </c>
      <c r="AH21" s="913">
        <v>190652</v>
      </c>
      <c r="AI21" s="914">
        <v>33080132</v>
      </c>
      <c r="AJ21" s="910">
        <v>32975065</v>
      </c>
      <c r="AK21" s="912">
        <v>45122524</v>
      </c>
      <c r="AL21" s="912">
        <v>45364213</v>
      </c>
      <c r="AM21" s="913">
        <v>401697</v>
      </c>
      <c r="AN21" s="914">
        <v>46756978</v>
      </c>
      <c r="AO21" s="910">
        <v>46385364</v>
      </c>
      <c r="AP21" s="912">
        <v>25488889</v>
      </c>
      <c r="AQ21" s="912">
        <v>25629497</v>
      </c>
      <c r="AR21" s="913">
        <v>-46923</v>
      </c>
      <c r="AS21" s="914">
        <v>25895686</v>
      </c>
      <c r="AT21" s="910">
        <v>25366847</v>
      </c>
      <c r="AU21" s="912">
        <v>25500328</v>
      </c>
      <c r="AV21" s="912">
        <v>25869639</v>
      </c>
      <c r="AW21" s="913">
        <v>269859</v>
      </c>
      <c r="AX21" s="914">
        <v>26503623</v>
      </c>
      <c r="AY21" s="910">
        <v>26405301</v>
      </c>
      <c r="AZ21" s="912">
        <v>32250245</v>
      </c>
      <c r="BA21" s="912">
        <v>32823851</v>
      </c>
      <c r="BB21" s="913">
        <v>424105</v>
      </c>
      <c r="BC21" s="914">
        <v>34574873</v>
      </c>
      <c r="BD21" s="910">
        <v>34456026</v>
      </c>
      <c r="BE21" s="912">
        <v>27121866</v>
      </c>
      <c r="BF21" s="918">
        <v>27297768</v>
      </c>
      <c r="BG21" s="913">
        <v>89952</v>
      </c>
      <c r="BH21" s="914">
        <v>27500599</v>
      </c>
      <c r="BI21" s="910">
        <v>26676864</v>
      </c>
      <c r="BJ21" s="912">
        <v>28434912</v>
      </c>
      <c r="BK21" s="912">
        <v>28767894</v>
      </c>
      <c r="BL21" s="913">
        <v>245454</v>
      </c>
      <c r="BM21" s="914">
        <v>29742512</v>
      </c>
      <c r="BN21" s="910">
        <v>28996739</v>
      </c>
      <c r="BO21" s="912">
        <v>26820879</v>
      </c>
      <c r="BP21" s="912">
        <v>26986615</v>
      </c>
      <c r="BQ21" s="913">
        <v>320542</v>
      </c>
      <c r="BR21" s="914">
        <v>28110638</v>
      </c>
      <c r="BS21" s="910">
        <v>27984132</v>
      </c>
      <c r="BT21" s="912">
        <v>21077951</v>
      </c>
      <c r="BU21" s="912">
        <v>21209671</v>
      </c>
      <c r="BV21" s="913">
        <v>238177</v>
      </c>
      <c r="BW21" s="914">
        <v>21935243</v>
      </c>
      <c r="BX21" s="910">
        <v>21852574</v>
      </c>
      <c r="BY21" s="912">
        <v>185722468</v>
      </c>
      <c r="BZ21" s="912">
        <v>192879332</v>
      </c>
      <c r="CA21" s="913">
        <v>681921</v>
      </c>
      <c r="CB21" s="914">
        <v>196514065</v>
      </c>
      <c r="CC21" s="910">
        <v>193882300</v>
      </c>
      <c r="CD21" s="915">
        <f t="shared" si="26"/>
        <v>954911337</v>
      </c>
      <c r="CE21" s="916">
        <f t="shared" si="27"/>
        <v>971945495</v>
      </c>
      <c r="CF21" s="917">
        <f t="shared" si="28"/>
        <v>8966409</v>
      </c>
      <c r="CG21" s="916">
        <f t="shared" si="29"/>
        <v>1014575842</v>
      </c>
      <c r="CH21" s="916">
        <f t="shared" si="30"/>
        <v>996015244</v>
      </c>
    </row>
    <row r="22" spans="1:86" s="634" customFormat="1" ht="27.75" hidden="1" customHeight="1">
      <c r="A22" s="920" t="s">
        <v>704</v>
      </c>
      <c r="B22" s="907"/>
      <c r="C22" s="907"/>
      <c r="D22" s="908"/>
      <c r="E22" s="909"/>
      <c r="F22" s="909"/>
      <c r="G22" s="907"/>
      <c r="H22" s="907"/>
      <c r="I22" s="908"/>
      <c r="J22" s="909"/>
      <c r="K22" s="910"/>
      <c r="L22" s="907"/>
      <c r="M22" s="907"/>
      <c r="N22" s="908"/>
      <c r="O22" s="909"/>
      <c r="P22" s="910"/>
      <c r="Q22" s="907"/>
      <c r="R22" s="907"/>
      <c r="S22" s="908"/>
      <c r="T22" s="909"/>
      <c r="U22" s="909"/>
      <c r="V22" s="912"/>
      <c r="W22" s="912"/>
      <c r="X22" s="913"/>
      <c r="Y22" s="914"/>
      <c r="Z22" s="910"/>
      <c r="AA22" s="912"/>
      <c r="AB22" s="912"/>
      <c r="AC22" s="913"/>
      <c r="AD22" s="914"/>
      <c r="AE22" s="910"/>
      <c r="AF22" s="912"/>
      <c r="AG22" s="912"/>
      <c r="AH22" s="913"/>
      <c r="AI22" s="914"/>
      <c r="AJ22" s="910"/>
      <c r="AK22" s="912"/>
      <c r="AL22" s="912"/>
      <c r="AM22" s="913"/>
      <c r="AN22" s="914"/>
      <c r="AO22" s="910"/>
      <c r="AP22" s="912"/>
      <c r="AQ22" s="912"/>
      <c r="AR22" s="913"/>
      <c r="AS22" s="914"/>
      <c r="AT22" s="910"/>
      <c r="AU22" s="912"/>
      <c r="AV22" s="912"/>
      <c r="AW22" s="913"/>
      <c r="AX22" s="914"/>
      <c r="AY22" s="910"/>
      <c r="AZ22" s="912"/>
      <c r="BA22" s="912"/>
      <c r="BB22" s="913"/>
      <c r="BC22" s="914"/>
      <c r="BD22" s="910"/>
      <c r="BE22" s="912"/>
      <c r="BF22" s="918"/>
      <c r="BG22" s="913"/>
      <c r="BH22" s="914"/>
      <c r="BI22" s="910"/>
      <c r="BJ22" s="912"/>
      <c r="BK22" s="912"/>
      <c r="BL22" s="913"/>
      <c r="BM22" s="914"/>
      <c r="BN22" s="910"/>
      <c r="BO22" s="912"/>
      <c r="BP22" s="912"/>
      <c r="BQ22" s="913"/>
      <c r="BR22" s="914"/>
      <c r="BS22" s="910"/>
      <c r="BT22" s="912"/>
      <c r="BU22" s="912"/>
      <c r="BV22" s="913"/>
      <c r="BW22" s="914"/>
      <c r="BX22" s="910"/>
      <c r="BY22" s="912"/>
      <c r="BZ22" s="912"/>
      <c r="CA22" s="913"/>
      <c r="CB22" s="914"/>
      <c r="CC22" s="910"/>
      <c r="CD22" s="915">
        <f t="shared" si="26"/>
        <v>0</v>
      </c>
      <c r="CE22" s="916">
        <f t="shared" si="27"/>
        <v>0</v>
      </c>
      <c r="CF22" s="917">
        <f t="shared" si="28"/>
        <v>0</v>
      </c>
      <c r="CG22" s="916">
        <f t="shared" si="29"/>
        <v>0</v>
      </c>
      <c r="CH22" s="916">
        <f t="shared" si="30"/>
        <v>0</v>
      </c>
    </row>
    <row r="23" spans="1:86" s="634" customFormat="1" ht="15" customHeight="1">
      <c r="A23" s="380" t="s">
        <v>705</v>
      </c>
      <c r="B23" s="907"/>
      <c r="C23" s="907"/>
      <c r="D23" s="908"/>
      <c r="E23" s="909">
        <f>SUM(C23+D23)</f>
        <v>0</v>
      </c>
      <c r="F23" s="909"/>
      <c r="G23" s="909"/>
      <c r="H23" s="907"/>
      <c r="I23" s="908"/>
      <c r="J23" s="909">
        <f>SUM(H23+I23)</f>
        <v>0</v>
      </c>
      <c r="K23" s="910"/>
      <c r="L23" s="907">
        <v>119518323</v>
      </c>
      <c r="M23" s="907">
        <v>128014593</v>
      </c>
      <c r="N23" s="908"/>
      <c r="O23" s="909">
        <v>107691591</v>
      </c>
      <c r="P23" s="910">
        <f>76394145+20592650</f>
        <v>96986795</v>
      </c>
      <c r="Q23" s="907">
        <v>34290000</v>
      </c>
      <c r="R23" s="907">
        <v>34434730</v>
      </c>
      <c r="S23" s="908">
        <v>-6165900</v>
      </c>
      <c r="T23" s="909">
        <v>18048865</v>
      </c>
      <c r="U23" s="921">
        <v>1593386</v>
      </c>
      <c r="V23" s="912">
        <v>20232164</v>
      </c>
      <c r="W23" s="912">
        <v>20232164</v>
      </c>
      <c r="X23" s="913"/>
      <c r="Y23" s="914">
        <v>20348054</v>
      </c>
      <c r="Z23" s="910">
        <f>15632151+4220684</f>
        <v>19852835</v>
      </c>
      <c r="AA23" s="912">
        <v>27892886</v>
      </c>
      <c r="AB23" s="912">
        <v>29823868</v>
      </c>
      <c r="AC23" s="913"/>
      <c r="AD23" s="914">
        <v>31944935</v>
      </c>
      <c r="AE23" s="910">
        <f>23971625+6472341</f>
        <v>30443966</v>
      </c>
      <c r="AF23" s="912"/>
      <c r="AG23" s="912"/>
      <c r="AH23" s="913"/>
      <c r="AI23" s="914">
        <f>SUM(AG23+AH23)</f>
        <v>0</v>
      </c>
      <c r="AJ23" s="910"/>
      <c r="AK23" s="912"/>
      <c r="AL23" s="912"/>
      <c r="AM23" s="913"/>
      <c r="AN23" s="914">
        <f>SUM(AL23+AM23)</f>
        <v>0</v>
      </c>
      <c r="AO23" s="910"/>
      <c r="AP23" s="912">
        <v>21998468</v>
      </c>
      <c r="AQ23" s="912">
        <v>22560428</v>
      </c>
      <c r="AR23" s="913"/>
      <c r="AS23" s="914">
        <v>23935952</v>
      </c>
      <c r="AT23" s="910">
        <f>17497281+4724268</f>
        <v>22221549</v>
      </c>
      <c r="AU23" s="912">
        <v>19353089</v>
      </c>
      <c r="AV23" s="912">
        <v>20794529</v>
      </c>
      <c r="AW23" s="913"/>
      <c r="AX23" s="914">
        <v>23256799</v>
      </c>
      <c r="AY23" s="910">
        <f>17475851+4718478</f>
        <v>22194329</v>
      </c>
      <c r="AZ23" s="912"/>
      <c r="BA23" s="912"/>
      <c r="BB23" s="913"/>
      <c r="BC23" s="914">
        <f>SUM(BA23+BB23)</f>
        <v>0</v>
      </c>
      <c r="BD23" s="910"/>
      <c r="BE23" s="912">
        <v>17682210</v>
      </c>
      <c r="BF23" s="918">
        <v>18929611</v>
      </c>
      <c r="BG23" s="913"/>
      <c r="BH23" s="914">
        <v>20016004</v>
      </c>
      <c r="BI23" s="910">
        <f>15036226+4059782</f>
        <v>19096008</v>
      </c>
      <c r="BJ23" s="914"/>
      <c r="BK23" s="912"/>
      <c r="BL23" s="913"/>
      <c r="BM23" s="914">
        <f>SUM(BK23+BL23)</f>
        <v>0</v>
      </c>
      <c r="BN23" s="910"/>
      <c r="BO23" s="912">
        <v>20061199</v>
      </c>
      <c r="BP23" s="912">
        <v>20139767</v>
      </c>
      <c r="BQ23" s="913"/>
      <c r="BR23" s="914">
        <v>21410719</v>
      </c>
      <c r="BS23" s="910">
        <f>15991639+4317728</f>
        <v>20309367</v>
      </c>
      <c r="BT23" s="912">
        <v>19830213</v>
      </c>
      <c r="BU23" s="912">
        <v>20874783</v>
      </c>
      <c r="BV23" s="913"/>
      <c r="BW23" s="914">
        <v>22100809</v>
      </c>
      <c r="BX23" s="910">
        <f>16634944+4491432</f>
        <v>21126376</v>
      </c>
      <c r="BY23" s="912">
        <v>498269501</v>
      </c>
      <c r="BZ23" s="912">
        <v>513119525</v>
      </c>
      <c r="CA23" s="913">
        <v>6083100</v>
      </c>
      <c r="CB23" s="914">
        <v>529490823</v>
      </c>
      <c r="CC23" s="910">
        <f>415301994+104826165</f>
        <v>520128159</v>
      </c>
      <c r="CD23" s="915">
        <f t="shared" si="26"/>
        <v>799128053</v>
      </c>
      <c r="CE23" s="916">
        <f t="shared" si="27"/>
        <v>828923998</v>
      </c>
      <c r="CF23" s="917">
        <f t="shared" si="28"/>
        <v>-82800</v>
      </c>
      <c r="CG23" s="916">
        <f t="shared" si="29"/>
        <v>818244551</v>
      </c>
      <c r="CH23" s="916">
        <f t="shared" si="30"/>
        <v>773952770</v>
      </c>
    </row>
    <row r="24" spans="1:86" s="634" customFormat="1" ht="15" customHeight="1">
      <c r="A24" s="920" t="s">
        <v>706</v>
      </c>
      <c r="B24" s="907"/>
      <c r="C24" s="907"/>
      <c r="D24" s="908"/>
      <c r="E24" s="909">
        <f>SUM(C24+D24)</f>
        <v>0</v>
      </c>
      <c r="F24" s="909"/>
      <c r="G24" s="909"/>
      <c r="H24" s="907"/>
      <c r="I24" s="908"/>
      <c r="J24" s="909">
        <f>SUM(H24+I24)</f>
        <v>0</v>
      </c>
      <c r="K24" s="910"/>
      <c r="L24" s="907"/>
      <c r="M24" s="907"/>
      <c r="N24" s="908"/>
      <c r="O24" s="909">
        <f>SUM(M24+N24)</f>
        <v>0</v>
      </c>
      <c r="P24" s="910"/>
      <c r="Q24" s="907"/>
      <c r="R24" s="907"/>
      <c r="S24" s="908"/>
      <c r="T24" s="909">
        <f>SUM(R24+S24)</f>
        <v>0</v>
      </c>
      <c r="U24" s="921"/>
      <c r="V24" s="912"/>
      <c r="W24" s="912"/>
      <c r="X24" s="913"/>
      <c r="Y24" s="914">
        <f t="shared" ref="Y24:Y34" si="31">SUM(W24+X24)</f>
        <v>0</v>
      </c>
      <c r="Z24" s="910"/>
      <c r="AA24" s="912"/>
      <c r="AB24" s="912"/>
      <c r="AC24" s="913"/>
      <c r="AD24" s="914">
        <f>SUM(AB24+AC24)</f>
        <v>0</v>
      </c>
      <c r="AE24" s="910"/>
      <c r="AF24" s="912"/>
      <c r="AG24" s="912"/>
      <c r="AH24" s="913"/>
      <c r="AI24" s="914">
        <f>SUM(AG24+AH24)</f>
        <v>0</v>
      </c>
      <c r="AJ24" s="910"/>
      <c r="AK24" s="912"/>
      <c r="AL24" s="912"/>
      <c r="AM24" s="913"/>
      <c r="AN24" s="914">
        <f>SUM(AL24+AM24)</f>
        <v>0</v>
      </c>
      <c r="AO24" s="910"/>
      <c r="AP24" s="912"/>
      <c r="AQ24" s="912"/>
      <c r="AR24" s="913"/>
      <c r="AS24" s="914">
        <f>SUM(AQ24+AR24)</f>
        <v>0</v>
      </c>
      <c r="AT24" s="910"/>
      <c r="AU24" s="912"/>
      <c r="AV24" s="912"/>
      <c r="AW24" s="913"/>
      <c r="AX24" s="914">
        <f>SUM(AV24+AW24)</f>
        <v>0</v>
      </c>
      <c r="AY24" s="910"/>
      <c r="AZ24" s="912"/>
      <c r="BA24" s="912"/>
      <c r="BB24" s="913"/>
      <c r="BC24" s="914">
        <f>SUM(BA24+BB24)</f>
        <v>0</v>
      </c>
      <c r="BD24" s="910"/>
      <c r="BE24" s="912"/>
      <c r="BF24" s="918"/>
      <c r="BG24" s="913"/>
      <c r="BH24" s="914">
        <f>SUM(BF24+BG24)</f>
        <v>0</v>
      </c>
      <c r="BI24" s="910"/>
      <c r="BJ24" s="914"/>
      <c r="BK24" s="912"/>
      <c r="BL24" s="913"/>
      <c r="BM24" s="914">
        <f>SUM(BK24+BL24)</f>
        <v>0</v>
      </c>
      <c r="BN24" s="910"/>
      <c r="BO24" s="912"/>
      <c r="BP24" s="912"/>
      <c r="BQ24" s="913"/>
      <c r="BR24" s="914">
        <f>SUM(BP24+BQ24)</f>
        <v>0</v>
      </c>
      <c r="BS24" s="910"/>
      <c r="BT24" s="912"/>
      <c r="BU24" s="912"/>
      <c r="BV24" s="913"/>
      <c r="BW24" s="914">
        <f>SUM(BU24+BV24)</f>
        <v>0</v>
      </c>
      <c r="BX24" s="910"/>
      <c r="BY24" s="912"/>
      <c r="BZ24" s="912"/>
      <c r="CA24" s="913"/>
      <c r="CB24" s="914">
        <f>SUM(BZ24+CA24)</f>
        <v>0</v>
      </c>
      <c r="CC24" s="910"/>
      <c r="CD24" s="915">
        <f t="shared" si="26"/>
        <v>0</v>
      </c>
      <c r="CE24" s="916">
        <f t="shared" si="27"/>
        <v>0</v>
      </c>
      <c r="CF24" s="917">
        <f t="shared" si="28"/>
        <v>0</v>
      </c>
      <c r="CG24" s="916">
        <f t="shared" si="29"/>
        <v>0</v>
      </c>
      <c r="CH24" s="916">
        <f t="shared" si="30"/>
        <v>0</v>
      </c>
    </row>
    <row r="25" spans="1:86" s="634" customFormat="1" ht="15" customHeight="1">
      <c r="A25" s="920" t="s">
        <v>707</v>
      </c>
      <c r="B25" s="907">
        <v>474533000</v>
      </c>
      <c r="C25" s="907">
        <v>511686000</v>
      </c>
      <c r="D25" s="908">
        <v>-145000</v>
      </c>
      <c r="E25" s="909">
        <v>534499930</v>
      </c>
      <c r="F25" s="909">
        <v>487782631</v>
      </c>
      <c r="G25" s="907">
        <v>74415609</v>
      </c>
      <c r="H25" s="907">
        <v>83061432</v>
      </c>
      <c r="I25" s="908">
        <v>451000</v>
      </c>
      <c r="J25" s="909">
        <v>81547132</v>
      </c>
      <c r="K25" s="910">
        <v>71040773</v>
      </c>
      <c r="L25" s="907">
        <v>147563426</v>
      </c>
      <c r="M25" s="907">
        <v>152007936</v>
      </c>
      <c r="N25" s="908">
        <v>308993</v>
      </c>
      <c r="O25" s="909">
        <v>143315373</v>
      </c>
      <c r="P25" s="910">
        <v>112505300</v>
      </c>
      <c r="Q25" s="907">
        <v>381251700</v>
      </c>
      <c r="R25" s="907">
        <v>411438320</v>
      </c>
      <c r="S25" s="908">
        <v>-2418600</v>
      </c>
      <c r="T25" s="909">
        <v>410175720</v>
      </c>
      <c r="U25" s="909">
        <v>338770782</v>
      </c>
      <c r="V25" s="912">
        <v>13454775</v>
      </c>
      <c r="W25" s="912">
        <v>13565728</v>
      </c>
      <c r="X25" s="913">
        <v>414310</v>
      </c>
      <c r="Y25" s="914">
        <f t="shared" si="31"/>
        <v>13980038</v>
      </c>
      <c r="Z25" s="910">
        <v>11942109</v>
      </c>
      <c r="AA25" s="912">
        <v>36693015</v>
      </c>
      <c r="AB25" s="912">
        <v>41550732</v>
      </c>
      <c r="AC25" s="913">
        <v>-2134500</v>
      </c>
      <c r="AD25" s="914">
        <v>38591459</v>
      </c>
      <c r="AE25" s="910">
        <v>30978917</v>
      </c>
      <c r="AF25" s="912">
        <v>21706154</v>
      </c>
      <c r="AG25" s="912">
        <v>22995984</v>
      </c>
      <c r="AH25" s="913">
        <v>580000</v>
      </c>
      <c r="AI25" s="914">
        <v>23548032</v>
      </c>
      <c r="AJ25" s="910">
        <v>17896570</v>
      </c>
      <c r="AK25" s="912">
        <v>27267420</v>
      </c>
      <c r="AL25" s="912">
        <v>27856216</v>
      </c>
      <c r="AM25" s="913">
        <v>1911455</v>
      </c>
      <c r="AN25" s="914">
        <v>29855943</v>
      </c>
      <c r="AO25" s="910">
        <v>25210375</v>
      </c>
      <c r="AP25" s="912">
        <v>14699760</v>
      </c>
      <c r="AQ25" s="912">
        <v>15221490</v>
      </c>
      <c r="AR25" s="913">
        <v>288600</v>
      </c>
      <c r="AS25" s="914">
        <v>15546472</v>
      </c>
      <c r="AT25" s="910">
        <v>12784409</v>
      </c>
      <c r="AU25" s="912">
        <v>16515630</v>
      </c>
      <c r="AV25" s="912">
        <v>17312626</v>
      </c>
      <c r="AW25" s="913">
        <v>428600</v>
      </c>
      <c r="AX25" s="914">
        <v>17460001</v>
      </c>
      <c r="AY25" s="910">
        <v>12918581</v>
      </c>
      <c r="AZ25" s="912">
        <v>34702070</v>
      </c>
      <c r="BA25" s="912">
        <v>37502666</v>
      </c>
      <c r="BB25" s="913">
        <v>714070</v>
      </c>
      <c r="BC25" s="914">
        <v>38454327</v>
      </c>
      <c r="BD25" s="910">
        <v>32346432</v>
      </c>
      <c r="BE25" s="912">
        <v>15813949</v>
      </c>
      <c r="BF25" s="918">
        <v>16508177</v>
      </c>
      <c r="BG25" s="913">
        <v>402028</v>
      </c>
      <c r="BH25" s="914">
        <v>16571922</v>
      </c>
      <c r="BI25" s="910">
        <v>14142395</v>
      </c>
      <c r="BJ25" s="912">
        <v>26701321</v>
      </c>
      <c r="BK25" s="912">
        <v>28012352</v>
      </c>
      <c r="BL25" s="913">
        <v>428600</v>
      </c>
      <c r="BM25" s="914">
        <v>28394827</v>
      </c>
      <c r="BN25" s="910">
        <v>23268422</v>
      </c>
      <c r="BO25" s="912">
        <v>16171748</v>
      </c>
      <c r="BP25" s="912">
        <v>16927192</v>
      </c>
      <c r="BQ25" s="913">
        <v>717800</v>
      </c>
      <c r="BR25" s="914">
        <v>17520770</v>
      </c>
      <c r="BS25" s="910">
        <v>14137630</v>
      </c>
      <c r="BT25" s="912">
        <v>13606945</v>
      </c>
      <c r="BU25" s="912">
        <v>14202213</v>
      </c>
      <c r="BV25" s="913">
        <v>818349</v>
      </c>
      <c r="BW25" s="914">
        <v>14829367</v>
      </c>
      <c r="BX25" s="910">
        <v>12437595</v>
      </c>
      <c r="BY25" s="912">
        <v>744590049</v>
      </c>
      <c r="BZ25" s="912">
        <v>783506097</v>
      </c>
      <c r="CA25" s="913">
        <v>-50638408</v>
      </c>
      <c r="CB25" s="914">
        <v>752556185</v>
      </c>
      <c r="CC25" s="910">
        <v>624906201</v>
      </c>
      <c r="CD25" s="915">
        <f t="shared" si="26"/>
        <v>2059686571</v>
      </c>
      <c r="CE25" s="916">
        <f t="shared" si="27"/>
        <v>2193355161</v>
      </c>
      <c r="CF25" s="917">
        <f t="shared" si="28"/>
        <v>-47872703</v>
      </c>
      <c r="CG25" s="916">
        <f t="shared" si="29"/>
        <v>2176847498</v>
      </c>
      <c r="CH25" s="916">
        <f t="shared" si="30"/>
        <v>1843069122</v>
      </c>
    </row>
    <row r="26" spans="1:86" ht="15" customHeight="1">
      <c r="A26" s="380" t="s">
        <v>17</v>
      </c>
      <c r="B26" s="907"/>
      <c r="C26" s="907"/>
      <c r="D26" s="908"/>
      <c r="E26" s="909">
        <f>SUM(C26+D26)</f>
        <v>0</v>
      </c>
      <c r="F26" s="909"/>
      <c r="G26" s="909"/>
      <c r="H26" s="907"/>
      <c r="I26" s="908"/>
      <c r="J26" s="909">
        <f t="shared" ref="J26:J34" si="32">SUM(H26+I26)</f>
        <v>0</v>
      </c>
      <c r="K26" s="910"/>
      <c r="L26" s="909"/>
      <c r="M26" s="907"/>
      <c r="N26" s="908"/>
      <c r="O26" s="909">
        <f t="shared" ref="O26:O34" si="33">SUM(M26+N26)</f>
        <v>0</v>
      </c>
      <c r="P26" s="910"/>
      <c r="Q26" s="909"/>
      <c r="R26" s="907"/>
      <c r="S26" s="908"/>
      <c r="T26" s="909">
        <f t="shared" ref="T26:T34" si="34">SUM(R26+S26)</f>
        <v>0</v>
      </c>
      <c r="U26" s="909"/>
      <c r="V26" s="909"/>
      <c r="W26" s="912"/>
      <c r="X26" s="913"/>
      <c r="Y26" s="914">
        <f t="shared" si="31"/>
        <v>0</v>
      </c>
      <c r="Z26" s="910"/>
      <c r="AA26" s="914"/>
      <c r="AB26" s="912"/>
      <c r="AC26" s="913"/>
      <c r="AD26" s="914">
        <f t="shared" ref="AD26:AD34" si="35">SUM(AB26+AC26)</f>
        <v>0</v>
      </c>
      <c r="AE26" s="910"/>
      <c r="AF26" s="914"/>
      <c r="AG26" s="912"/>
      <c r="AH26" s="913"/>
      <c r="AI26" s="914">
        <f t="shared" ref="AI26:AI34" si="36">SUM(AG26+AH26)</f>
        <v>0</v>
      </c>
      <c r="AJ26" s="910"/>
      <c r="AK26" s="914"/>
      <c r="AL26" s="912"/>
      <c r="AM26" s="913"/>
      <c r="AN26" s="914">
        <f t="shared" ref="AN26:AN34" si="37">SUM(AL26+AM26)</f>
        <v>0</v>
      </c>
      <c r="AO26" s="910"/>
      <c r="AP26" s="914"/>
      <c r="AQ26" s="912"/>
      <c r="AR26" s="913"/>
      <c r="AS26" s="914">
        <f t="shared" ref="AS26:AS34" si="38">SUM(AQ26+AR26)</f>
        <v>0</v>
      </c>
      <c r="AT26" s="910"/>
      <c r="AU26" s="914"/>
      <c r="AV26" s="912"/>
      <c r="AW26" s="913"/>
      <c r="AX26" s="914">
        <f t="shared" ref="AX26:AX34" si="39">SUM(AV26+AW26)</f>
        <v>0</v>
      </c>
      <c r="AY26" s="910"/>
      <c r="AZ26" s="914"/>
      <c r="BA26" s="912"/>
      <c r="BB26" s="913"/>
      <c r="BC26" s="914">
        <f t="shared" ref="BC26:BC34" si="40">SUM(BA26+BB26)</f>
        <v>0</v>
      </c>
      <c r="BD26" s="910"/>
      <c r="BE26" s="914"/>
      <c r="BF26" s="918"/>
      <c r="BG26" s="913"/>
      <c r="BH26" s="914">
        <f t="shared" ref="BH26:BH34" si="41">SUM(BF26+BG26)</f>
        <v>0</v>
      </c>
      <c r="BI26" s="910"/>
      <c r="BJ26" s="914"/>
      <c r="BK26" s="912"/>
      <c r="BL26" s="913"/>
      <c r="BM26" s="914">
        <f t="shared" ref="BM26:BM34" si="42">SUM(BK26+BL26)</f>
        <v>0</v>
      </c>
      <c r="BN26" s="910"/>
      <c r="BO26" s="914"/>
      <c r="BP26" s="912"/>
      <c r="BQ26" s="913"/>
      <c r="BR26" s="914">
        <f t="shared" ref="BR26:BR34" si="43">SUM(BP26+BQ26)</f>
        <v>0</v>
      </c>
      <c r="BS26" s="910"/>
      <c r="BT26" s="914"/>
      <c r="BU26" s="912"/>
      <c r="BV26" s="913"/>
      <c r="BW26" s="914">
        <f t="shared" ref="BW26:BW34" si="44">SUM(BU26+BV26)</f>
        <v>0</v>
      </c>
      <c r="BX26" s="910"/>
      <c r="BY26" s="914"/>
      <c r="BZ26" s="912"/>
      <c r="CA26" s="913"/>
      <c r="CB26" s="914">
        <f t="shared" ref="CB26:CB34" si="45">SUM(BZ26+CA26)</f>
        <v>0</v>
      </c>
      <c r="CC26" s="910"/>
      <c r="CD26" s="915">
        <f t="shared" si="26"/>
        <v>0</v>
      </c>
      <c r="CE26" s="916">
        <f t="shared" si="27"/>
        <v>0</v>
      </c>
      <c r="CF26" s="917">
        <f t="shared" si="28"/>
        <v>0</v>
      </c>
      <c r="CG26" s="916">
        <f t="shared" si="29"/>
        <v>0</v>
      </c>
      <c r="CH26" s="916">
        <f t="shared" si="30"/>
        <v>0</v>
      </c>
    </row>
    <row r="27" spans="1:86" s="634" customFormat="1" ht="27.75" hidden="1" customHeight="1">
      <c r="A27" s="380" t="s">
        <v>19</v>
      </c>
      <c r="B27" s="907"/>
      <c r="C27" s="907"/>
      <c r="D27" s="908"/>
      <c r="E27" s="909">
        <f>SUM(C27+D27)</f>
        <v>0</v>
      </c>
      <c r="F27" s="909"/>
      <c r="G27" s="909"/>
      <c r="H27" s="907"/>
      <c r="I27" s="908"/>
      <c r="J27" s="909">
        <f t="shared" si="32"/>
        <v>0</v>
      </c>
      <c r="K27" s="910"/>
      <c r="L27" s="909"/>
      <c r="M27" s="907"/>
      <c r="N27" s="908"/>
      <c r="O27" s="909">
        <f t="shared" si="33"/>
        <v>0</v>
      </c>
      <c r="P27" s="910"/>
      <c r="Q27" s="909"/>
      <c r="R27" s="907"/>
      <c r="S27" s="908"/>
      <c r="T27" s="909">
        <f t="shared" si="34"/>
        <v>0</v>
      </c>
      <c r="U27" s="909"/>
      <c r="V27" s="909"/>
      <c r="W27" s="912"/>
      <c r="X27" s="913"/>
      <c r="Y27" s="914">
        <f t="shared" si="31"/>
        <v>0</v>
      </c>
      <c r="Z27" s="910"/>
      <c r="AA27" s="914"/>
      <c r="AB27" s="912"/>
      <c r="AC27" s="913"/>
      <c r="AD27" s="914">
        <f t="shared" si="35"/>
        <v>0</v>
      </c>
      <c r="AE27" s="910"/>
      <c r="AF27" s="914"/>
      <c r="AG27" s="912"/>
      <c r="AH27" s="913"/>
      <c r="AI27" s="914">
        <f t="shared" si="36"/>
        <v>0</v>
      </c>
      <c r="AJ27" s="910"/>
      <c r="AK27" s="914"/>
      <c r="AL27" s="912"/>
      <c r="AM27" s="913"/>
      <c r="AN27" s="914">
        <f t="shared" si="37"/>
        <v>0</v>
      </c>
      <c r="AO27" s="910"/>
      <c r="AP27" s="914"/>
      <c r="AQ27" s="912"/>
      <c r="AR27" s="913"/>
      <c r="AS27" s="914">
        <f t="shared" si="38"/>
        <v>0</v>
      </c>
      <c r="AT27" s="910"/>
      <c r="AU27" s="914"/>
      <c r="AV27" s="912"/>
      <c r="AW27" s="913"/>
      <c r="AX27" s="914">
        <f t="shared" si="39"/>
        <v>0</v>
      </c>
      <c r="AY27" s="910"/>
      <c r="AZ27" s="914"/>
      <c r="BA27" s="912"/>
      <c r="BB27" s="913"/>
      <c r="BC27" s="914">
        <f t="shared" si="40"/>
        <v>0</v>
      </c>
      <c r="BD27" s="910"/>
      <c r="BE27" s="914"/>
      <c r="BF27" s="918"/>
      <c r="BG27" s="913"/>
      <c r="BH27" s="914">
        <f t="shared" si="41"/>
        <v>0</v>
      </c>
      <c r="BI27" s="910"/>
      <c r="BJ27" s="914"/>
      <c r="BK27" s="912"/>
      <c r="BL27" s="913"/>
      <c r="BM27" s="914">
        <f t="shared" si="42"/>
        <v>0</v>
      </c>
      <c r="BN27" s="910"/>
      <c r="BO27" s="914"/>
      <c r="BP27" s="912"/>
      <c r="BQ27" s="913"/>
      <c r="BR27" s="914">
        <f t="shared" si="43"/>
        <v>0</v>
      </c>
      <c r="BS27" s="910"/>
      <c r="BT27" s="914"/>
      <c r="BU27" s="912"/>
      <c r="BV27" s="913"/>
      <c r="BW27" s="914">
        <f t="shared" si="44"/>
        <v>0</v>
      </c>
      <c r="BX27" s="910"/>
      <c r="BY27" s="914"/>
      <c r="BZ27" s="912"/>
      <c r="CA27" s="913"/>
      <c r="CB27" s="914">
        <f t="shared" si="45"/>
        <v>0</v>
      </c>
      <c r="CC27" s="910"/>
      <c r="CD27" s="915">
        <f t="shared" si="26"/>
        <v>0</v>
      </c>
      <c r="CE27" s="916">
        <f t="shared" si="27"/>
        <v>0</v>
      </c>
      <c r="CF27" s="917">
        <f t="shared" si="28"/>
        <v>0</v>
      </c>
      <c r="CG27" s="916">
        <f t="shared" si="29"/>
        <v>0</v>
      </c>
      <c r="CH27" s="916">
        <f t="shared" si="30"/>
        <v>0</v>
      </c>
    </row>
    <row r="28" spans="1:86" s="634" customFormat="1" ht="15" customHeight="1">
      <c r="A28" s="380" t="s">
        <v>708</v>
      </c>
      <c r="B28" s="907"/>
      <c r="C28" s="907">
        <v>52237000</v>
      </c>
      <c r="D28" s="908"/>
      <c r="E28" s="909">
        <v>52237000</v>
      </c>
      <c r="F28" s="909">
        <v>52237000</v>
      </c>
      <c r="G28" s="909"/>
      <c r="H28" s="907"/>
      <c r="I28" s="908"/>
      <c r="J28" s="909">
        <f t="shared" si="32"/>
        <v>0</v>
      </c>
      <c r="K28" s="910"/>
      <c r="L28" s="909"/>
      <c r="M28" s="907"/>
      <c r="N28" s="908"/>
      <c r="O28" s="909">
        <f t="shared" si="33"/>
        <v>0</v>
      </c>
      <c r="P28" s="910"/>
      <c r="Q28" s="909"/>
      <c r="R28" s="907"/>
      <c r="S28" s="908"/>
      <c r="T28" s="909">
        <f t="shared" si="34"/>
        <v>0</v>
      </c>
      <c r="U28" s="909"/>
      <c r="V28" s="909"/>
      <c r="W28" s="912">
        <v>20876</v>
      </c>
      <c r="X28" s="913"/>
      <c r="Y28" s="914">
        <f t="shared" si="31"/>
        <v>20876</v>
      </c>
      <c r="Z28" s="910">
        <v>20876</v>
      </c>
      <c r="AA28" s="914"/>
      <c r="AB28" s="912"/>
      <c r="AC28" s="913"/>
      <c r="AD28" s="914">
        <f t="shared" si="35"/>
        <v>0</v>
      </c>
      <c r="AE28" s="910"/>
      <c r="AF28" s="914"/>
      <c r="AG28" s="912"/>
      <c r="AH28" s="913"/>
      <c r="AI28" s="914">
        <f t="shared" si="36"/>
        <v>0</v>
      </c>
      <c r="AJ28" s="910"/>
      <c r="AK28" s="914"/>
      <c r="AL28" s="912"/>
      <c r="AM28" s="913"/>
      <c r="AN28" s="914">
        <f t="shared" si="37"/>
        <v>0</v>
      </c>
      <c r="AO28" s="910"/>
      <c r="AP28" s="914"/>
      <c r="AQ28" s="912"/>
      <c r="AR28" s="913"/>
      <c r="AS28" s="914">
        <f t="shared" si="38"/>
        <v>0</v>
      </c>
      <c r="AT28" s="910"/>
      <c r="AU28" s="914"/>
      <c r="AV28" s="912"/>
      <c r="AW28" s="913"/>
      <c r="AX28" s="914">
        <f t="shared" si="39"/>
        <v>0</v>
      </c>
      <c r="AY28" s="910"/>
      <c r="AZ28" s="914"/>
      <c r="BA28" s="912"/>
      <c r="BB28" s="913"/>
      <c r="BC28" s="914">
        <f t="shared" si="40"/>
        <v>0</v>
      </c>
      <c r="BD28" s="910"/>
      <c r="BE28" s="914"/>
      <c r="BF28" s="918"/>
      <c r="BG28" s="913"/>
      <c r="BH28" s="914">
        <f t="shared" si="41"/>
        <v>0</v>
      </c>
      <c r="BI28" s="910"/>
      <c r="BJ28" s="914"/>
      <c r="BK28" s="912"/>
      <c r="BL28" s="913"/>
      <c r="BM28" s="914">
        <f t="shared" si="42"/>
        <v>0</v>
      </c>
      <c r="BN28" s="910"/>
      <c r="BO28" s="914"/>
      <c r="BP28" s="912"/>
      <c r="BQ28" s="913"/>
      <c r="BR28" s="914">
        <f t="shared" si="43"/>
        <v>0</v>
      </c>
      <c r="BS28" s="910"/>
      <c r="BT28" s="914"/>
      <c r="BU28" s="912"/>
      <c r="BV28" s="913"/>
      <c r="BW28" s="914">
        <f t="shared" si="44"/>
        <v>0</v>
      </c>
      <c r="BX28" s="910"/>
      <c r="BY28" s="914"/>
      <c r="BZ28" s="912"/>
      <c r="CA28" s="913"/>
      <c r="CB28" s="914">
        <f t="shared" si="45"/>
        <v>0</v>
      </c>
      <c r="CC28" s="910"/>
      <c r="CD28" s="915">
        <f t="shared" si="26"/>
        <v>0</v>
      </c>
      <c r="CE28" s="916">
        <f t="shared" si="27"/>
        <v>52257876</v>
      </c>
      <c r="CF28" s="917">
        <f t="shared" si="28"/>
        <v>0</v>
      </c>
      <c r="CG28" s="916">
        <f t="shared" si="29"/>
        <v>52257876</v>
      </c>
      <c r="CH28" s="916">
        <f t="shared" si="30"/>
        <v>52257876</v>
      </c>
    </row>
    <row r="29" spans="1:86" ht="15" customHeight="1">
      <c r="A29" s="380" t="s">
        <v>709</v>
      </c>
      <c r="B29" s="907"/>
      <c r="C29" s="907"/>
      <c r="D29" s="908"/>
      <c r="E29" s="909">
        <f t="shared" ref="E29:E34" si="46">SUM(C29+D29)</f>
        <v>0</v>
      </c>
      <c r="F29" s="909"/>
      <c r="G29" s="909"/>
      <c r="H29" s="907"/>
      <c r="I29" s="908"/>
      <c r="J29" s="909">
        <f t="shared" si="32"/>
        <v>0</v>
      </c>
      <c r="K29" s="910"/>
      <c r="L29" s="909"/>
      <c r="M29" s="907"/>
      <c r="N29" s="908"/>
      <c r="O29" s="909">
        <f t="shared" si="33"/>
        <v>0</v>
      </c>
      <c r="P29" s="910"/>
      <c r="Q29" s="909"/>
      <c r="R29" s="907"/>
      <c r="S29" s="908"/>
      <c r="T29" s="909">
        <f t="shared" si="34"/>
        <v>0</v>
      </c>
      <c r="U29" s="909"/>
      <c r="V29" s="909"/>
      <c r="W29" s="912"/>
      <c r="X29" s="913"/>
      <c r="Y29" s="914">
        <f t="shared" si="31"/>
        <v>0</v>
      </c>
      <c r="Z29" s="910"/>
      <c r="AA29" s="914"/>
      <c r="AB29" s="912"/>
      <c r="AC29" s="913"/>
      <c r="AD29" s="914">
        <f t="shared" si="35"/>
        <v>0</v>
      </c>
      <c r="AE29" s="910"/>
      <c r="AF29" s="914"/>
      <c r="AG29" s="912"/>
      <c r="AH29" s="913"/>
      <c r="AI29" s="914">
        <f t="shared" si="36"/>
        <v>0</v>
      </c>
      <c r="AJ29" s="910"/>
      <c r="AK29" s="914"/>
      <c r="AL29" s="912"/>
      <c r="AM29" s="913"/>
      <c r="AN29" s="914">
        <f t="shared" si="37"/>
        <v>0</v>
      </c>
      <c r="AO29" s="910"/>
      <c r="AP29" s="914"/>
      <c r="AQ29" s="912"/>
      <c r="AR29" s="913"/>
      <c r="AS29" s="914">
        <f t="shared" si="38"/>
        <v>0</v>
      </c>
      <c r="AT29" s="910"/>
      <c r="AU29" s="914"/>
      <c r="AV29" s="912"/>
      <c r="AW29" s="913"/>
      <c r="AX29" s="914">
        <f t="shared" si="39"/>
        <v>0</v>
      </c>
      <c r="AY29" s="910"/>
      <c r="AZ29" s="914"/>
      <c r="BA29" s="912"/>
      <c r="BB29" s="913"/>
      <c r="BC29" s="914">
        <f t="shared" si="40"/>
        <v>0</v>
      </c>
      <c r="BD29" s="910"/>
      <c r="BE29" s="914"/>
      <c r="BF29" s="918"/>
      <c r="BG29" s="913"/>
      <c r="BH29" s="914">
        <f t="shared" si="41"/>
        <v>0</v>
      </c>
      <c r="BI29" s="910"/>
      <c r="BJ29" s="914"/>
      <c r="BK29" s="912"/>
      <c r="BL29" s="913"/>
      <c r="BM29" s="914">
        <f t="shared" si="42"/>
        <v>0</v>
      </c>
      <c r="BN29" s="910"/>
      <c r="BO29" s="914"/>
      <c r="BP29" s="912"/>
      <c r="BQ29" s="913"/>
      <c r="BR29" s="914">
        <f t="shared" si="43"/>
        <v>0</v>
      </c>
      <c r="BS29" s="910"/>
      <c r="BT29" s="914"/>
      <c r="BU29" s="912"/>
      <c r="BV29" s="913"/>
      <c r="BW29" s="914">
        <f t="shared" si="44"/>
        <v>0</v>
      </c>
      <c r="BX29" s="910"/>
      <c r="BY29" s="914"/>
      <c r="BZ29" s="912"/>
      <c r="CA29" s="913"/>
      <c r="CB29" s="914">
        <f t="shared" si="45"/>
        <v>0</v>
      </c>
      <c r="CC29" s="910"/>
      <c r="CD29" s="915">
        <f t="shared" si="26"/>
        <v>0</v>
      </c>
      <c r="CE29" s="916">
        <f t="shared" si="27"/>
        <v>0</v>
      </c>
      <c r="CF29" s="917">
        <f t="shared" si="28"/>
        <v>0</v>
      </c>
      <c r="CG29" s="916">
        <f t="shared" si="29"/>
        <v>0</v>
      </c>
      <c r="CH29" s="916">
        <f t="shared" si="30"/>
        <v>0</v>
      </c>
    </row>
    <row r="30" spans="1:86" ht="15" hidden="1" customHeight="1">
      <c r="A30" s="380" t="s">
        <v>710</v>
      </c>
      <c r="B30" s="921"/>
      <c r="C30" s="907"/>
      <c r="D30" s="908"/>
      <c r="E30" s="909">
        <f t="shared" si="46"/>
        <v>0</v>
      </c>
      <c r="F30" s="909"/>
      <c r="G30" s="909"/>
      <c r="H30" s="907"/>
      <c r="I30" s="908"/>
      <c r="J30" s="909">
        <f t="shared" si="32"/>
        <v>0</v>
      </c>
      <c r="K30" s="910"/>
      <c r="L30" s="909"/>
      <c r="M30" s="907"/>
      <c r="N30" s="908"/>
      <c r="O30" s="909">
        <f t="shared" si="33"/>
        <v>0</v>
      </c>
      <c r="P30" s="910"/>
      <c r="Q30" s="909"/>
      <c r="R30" s="907"/>
      <c r="S30" s="908"/>
      <c r="T30" s="909">
        <f t="shared" si="34"/>
        <v>0</v>
      </c>
      <c r="U30" s="909"/>
      <c r="V30" s="909"/>
      <c r="W30" s="912"/>
      <c r="X30" s="913"/>
      <c r="Y30" s="914">
        <f t="shared" si="31"/>
        <v>0</v>
      </c>
      <c r="Z30" s="910"/>
      <c r="AA30" s="914"/>
      <c r="AB30" s="912"/>
      <c r="AC30" s="913"/>
      <c r="AD30" s="914">
        <f t="shared" si="35"/>
        <v>0</v>
      </c>
      <c r="AE30" s="910"/>
      <c r="AF30" s="914"/>
      <c r="AG30" s="912"/>
      <c r="AH30" s="913"/>
      <c r="AI30" s="914">
        <f t="shared" si="36"/>
        <v>0</v>
      </c>
      <c r="AJ30" s="910"/>
      <c r="AK30" s="914"/>
      <c r="AL30" s="912"/>
      <c r="AM30" s="913"/>
      <c r="AN30" s="914">
        <f t="shared" si="37"/>
        <v>0</v>
      </c>
      <c r="AO30" s="910"/>
      <c r="AP30" s="914"/>
      <c r="AQ30" s="912"/>
      <c r="AR30" s="913"/>
      <c r="AS30" s="914">
        <f t="shared" si="38"/>
        <v>0</v>
      </c>
      <c r="AT30" s="910"/>
      <c r="AU30" s="914"/>
      <c r="AV30" s="912"/>
      <c r="AW30" s="913"/>
      <c r="AX30" s="914">
        <f t="shared" si="39"/>
        <v>0</v>
      </c>
      <c r="AY30" s="910"/>
      <c r="AZ30" s="914"/>
      <c r="BA30" s="912"/>
      <c r="BB30" s="913"/>
      <c r="BC30" s="914">
        <f t="shared" si="40"/>
        <v>0</v>
      </c>
      <c r="BD30" s="910"/>
      <c r="BE30" s="914"/>
      <c r="BF30" s="918"/>
      <c r="BG30" s="913"/>
      <c r="BH30" s="914">
        <f t="shared" si="41"/>
        <v>0</v>
      </c>
      <c r="BI30" s="910"/>
      <c r="BJ30" s="914"/>
      <c r="BK30" s="912"/>
      <c r="BL30" s="913"/>
      <c r="BM30" s="914">
        <f t="shared" si="42"/>
        <v>0</v>
      </c>
      <c r="BN30" s="910"/>
      <c r="BO30" s="914"/>
      <c r="BP30" s="912"/>
      <c r="BQ30" s="913"/>
      <c r="BR30" s="914">
        <f t="shared" si="43"/>
        <v>0</v>
      </c>
      <c r="BS30" s="910"/>
      <c r="BT30" s="914"/>
      <c r="BU30" s="912"/>
      <c r="BV30" s="913"/>
      <c r="BW30" s="914">
        <f t="shared" si="44"/>
        <v>0</v>
      </c>
      <c r="BX30" s="910"/>
      <c r="BY30" s="914"/>
      <c r="BZ30" s="912"/>
      <c r="CA30" s="913"/>
      <c r="CB30" s="914">
        <f t="shared" si="45"/>
        <v>0</v>
      </c>
      <c r="CC30" s="910"/>
      <c r="CD30" s="915">
        <f t="shared" si="26"/>
        <v>0</v>
      </c>
      <c r="CE30" s="916">
        <f t="shared" si="27"/>
        <v>0</v>
      </c>
      <c r="CF30" s="917">
        <f t="shared" si="28"/>
        <v>0</v>
      </c>
      <c r="CG30" s="916">
        <f t="shared" si="29"/>
        <v>0</v>
      </c>
      <c r="CH30" s="916">
        <f t="shared" si="30"/>
        <v>0</v>
      </c>
    </row>
    <row r="31" spans="1:86" ht="14.25" customHeight="1">
      <c r="A31" s="380" t="s">
        <v>711</v>
      </c>
      <c r="B31" s="380"/>
      <c r="C31" s="921"/>
      <c r="D31" s="922"/>
      <c r="E31" s="909">
        <f t="shared" si="46"/>
        <v>0</v>
      </c>
      <c r="F31" s="909"/>
      <c r="G31" s="909"/>
      <c r="H31" s="921"/>
      <c r="I31" s="922"/>
      <c r="J31" s="909">
        <f t="shared" si="32"/>
        <v>0</v>
      </c>
      <c r="K31" s="910"/>
      <c r="L31" s="909"/>
      <c r="M31" s="921"/>
      <c r="N31" s="922"/>
      <c r="O31" s="909">
        <f t="shared" si="33"/>
        <v>0</v>
      </c>
      <c r="P31" s="910"/>
      <c r="Q31" s="909"/>
      <c r="R31" s="921"/>
      <c r="S31" s="922"/>
      <c r="T31" s="909">
        <f t="shared" si="34"/>
        <v>0</v>
      </c>
      <c r="U31" s="909"/>
      <c r="V31" s="909"/>
      <c r="W31" s="918"/>
      <c r="X31" s="923"/>
      <c r="Y31" s="914">
        <f t="shared" si="31"/>
        <v>0</v>
      </c>
      <c r="Z31" s="910"/>
      <c r="AA31" s="914"/>
      <c r="AB31" s="918"/>
      <c r="AC31" s="923"/>
      <c r="AD31" s="914">
        <f t="shared" si="35"/>
        <v>0</v>
      </c>
      <c r="AE31" s="910"/>
      <c r="AF31" s="914"/>
      <c r="AG31" s="918"/>
      <c r="AH31" s="923"/>
      <c r="AI31" s="914">
        <f t="shared" si="36"/>
        <v>0</v>
      </c>
      <c r="AJ31" s="910"/>
      <c r="AK31" s="914"/>
      <c r="AL31" s="918"/>
      <c r="AM31" s="923"/>
      <c r="AN31" s="914">
        <f t="shared" si="37"/>
        <v>0</v>
      </c>
      <c r="AO31" s="910"/>
      <c r="AP31" s="914"/>
      <c r="AQ31" s="918"/>
      <c r="AR31" s="923"/>
      <c r="AS31" s="914">
        <f t="shared" si="38"/>
        <v>0</v>
      </c>
      <c r="AT31" s="910"/>
      <c r="AU31" s="914"/>
      <c r="AV31" s="918"/>
      <c r="AW31" s="923"/>
      <c r="AX31" s="914">
        <f t="shared" si="39"/>
        <v>0</v>
      </c>
      <c r="AY31" s="910"/>
      <c r="AZ31" s="914"/>
      <c r="BA31" s="918"/>
      <c r="BB31" s="923"/>
      <c r="BC31" s="914">
        <f t="shared" si="40"/>
        <v>0</v>
      </c>
      <c r="BD31" s="910"/>
      <c r="BE31" s="914"/>
      <c r="BF31" s="918"/>
      <c r="BG31" s="923"/>
      <c r="BH31" s="914">
        <f t="shared" si="41"/>
        <v>0</v>
      </c>
      <c r="BI31" s="910"/>
      <c r="BJ31" s="914"/>
      <c r="BK31" s="918"/>
      <c r="BL31" s="923"/>
      <c r="BM31" s="914">
        <f t="shared" si="42"/>
        <v>0</v>
      </c>
      <c r="BN31" s="910"/>
      <c r="BO31" s="914"/>
      <c r="BP31" s="918"/>
      <c r="BQ31" s="923"/>
      <c r="BR31" s="914">
        <f t="shared" si="43"/>
        <v>0</v>
      </c>
      <c r="BS31" s="910"/>
      <c r="BT31" s="914"/>
      <c r="BU31" s="918"/>
      <c r="BV31" s="923"/>
      <c r="BW31" s="914">
        <f t="shared" si="44"/>
        <v>0</v>
      </c>
      <c r="BX31" s="910"/>
      <c r="BY31" s="914"/>
      <c r="BZ31" s="918"/>
      <c r="CA31" s="923"/>
      <c r="CB31" s="914">
        <f t="shared" si="45"/>
        <v>0</v>
      </c>
      <c r="CC31" s="910"/>
      <c r="CD31" s="915">
        <f t="shared" si="26"/>
        <v>0</v>
      </c>
      <c r="CE31" s="916">
        <f t="shared" si="27"/>
        <v>0</v>
      </c>
      <c r="CF31" s="917">
        <f t="shared" si="28"/>
        <v>0</v>
      </c>
      <c r="CG31" s="916">
        <f t="shared" si="29"/>
        <v>0</v>
      </c>
      <c r="CH31" s="916">
        <f t="shared" si="30"/>
        <v>0</v>
      </c>
    </row>
    <row r="32" spans="1:86" ht="14.25" customHeight="1">
      <c r="A32" s="380" t="s">
        <v>712</v>
      </c>
      <c r="B32" s="380"/>
      <c r="C32" s="921">
        <v>0</v>
      </c>
      <c r="D32" s="922"/>
      <c r="E32" s="909">
        <f t="shared" si="46"/>
        <v>0</v>
      </c>
      <c r="F32" s="909"/>
      <c r="G32" s="909"/>
      <c r="H32" s="921">
        <v>0</v>
      </c>
      <c r="I32" s="922"/>
      <c r="J32" s="909">
        <f t="shared" si="32"/>
        <v>0</v>
      </c>
      <c r="K32" s="910"/>
      <c r="L32" s="909"/>
      <c r="M32" s="921">
        <v>0</v>
      </c>
      <c r="N32" s="922"/>
      <c r="O32" s="909">
        <f t="shared" si="33"/>
        <v>0</v>
      </c>
      <c r="P32" s="910"/>
      <c r="Q32" s="909"/>
      <c r="R32" s="921">
        <v>0</v>
      </c>
      <c r="S32" s="922"/>
      <c r="T32" s="909">
        <f t="shared" si="34"/>
        <v>0</v>
      </c>
      <c r="U32" s="909"/>
      <c r="V32" s="909"/>
      <c r="W32" s="914">
        <v>0</v>
      </c>
      <c r="X32" s="923"/>
      <c r="Y32" s="914">
        <f t="shared" si="31"/>
        <v>0</v>
      </c>
      <c r="Z32" s="910"/>
      <c r="AA32" s="914"/>
      <c r="AB32" s="914">
        <v>0</v>
      </c>
      <c r="AC32" s="923"/>
      <c r="AD32" s="914">
        <f t="shared" si="35"/>
        <v>0</v>
      </c>
      <c r="AE32" s="910"/>
      <c r="AF32" s="914"/>
      <c r="AG32" s="914">
        <v>0</v>
      </c>
      <c r="AH32" s="923"/>
      <c r="AI32" s="914">
        <f t="shared" si="36"/>
        <v>0</v>
      </c>
      <c r="AJ32" s="910"/>
      <c r="AK32" s="914"/>
      <c r="AL32" s="914">
        <v>0</v>
      </c>
      <c r="AM32" s="923"/>
      <c r="AN32" s="914">
        <f t="shared" si="37"/>
        <v>0</v>
      </c>
      <c r="AO32" s="910"/>
      <c r="AP32" s="914"/>
      <c r="AQ32" s="914">
        <v>0</v>
      </c>
      <c r="AR32" s="923"/>
      <c r="AS32" s="914">
        <f t="shared" si="38"/>
        <v>0</v>
      </c>
      <c r="AT32" s="910"/>
      <c r="AU32" s="914"/>
      <c r="AV32" s="914">
        <v>0</v>
      </c>
      <c r="AW32" s="923"/>
      <c r="AX32" s="914">
        <f t="shared" si="39"/>
        <v>0</v>
      </c>
      <c r="AY32" s="910"/>
      <c r="AZ32" s="914"/>
      <c r="BA32" s="914">
        <v>0</v>
      </c>
      <c r="BB32" s="923"/>
      <c r="BC32" s="914">
        <f t="shared" si="40"/>
        <v>0</v>
      </c>
      <c r="BD32" s="910"/>
      <c r="BE32" s="914"/>
      <c r="BF32" s="914">
        <v>0</v>
      </c>
      <c r="BG32" s="923"/>
      <c r="BH32" s="914">
        <f t="shared" si="41"/>
        <v>0</v>
      </c>
      <c r="BI32" s="910"/>
      <c r="BJ32" s="914"/>
      <c r="BK32" s="914">
        <v>0</v>
      </c>
      <c r="BL32" s="923"/>
      <c r="BM32" s="914">
        <f t="shared" si="42"/>
        <v>0</v>
      </c>
      <c r="BN32" s="910"/>
      <c r="BO32" s="914"/>
      <c r="BP32" s="914">
        <v>0</v>
      </c>
      <c r="BQ32" s="923"/>
      <c r="BR32" s="914">
        <f t="shared" si="43"/>
        <v>0</v>
      </c>
      <c r="BS32" s="910"/>
      <c r="BT32" s="914"/>
      <c r="BU32" s="914">
        <v>0</v>
      </c>
      <c r="BV32" s="923"/>
      <c r="BW32" s="914">
        <f t="shared" si="44"/>
        <v>0</v>
      </c>
      <c r="BX32" s="910"/>
      <c r="BY32" s="914"/>
      <c r="BZ32" s="914">
        <v>0</v>
      </c>
      <c r="CA32" s="923"/>
      <c r="CB32" s="914">
        <f t="shared" si="45"/>
        <v>0</v>
      </c>
      <c r="CC32" s="910"/>
      <c r="CD32" s="915">
        <f t="shared" si="26"/>
        <v>0</v>
      </c>
      <c r="CE32" s="916">
        <f t="shared" si="27"/>
        <v>0</v>
      </c>
      <c r="CF32" s="917">
        <f t="shared" si="28"/>
        <v>0</v>
      </c>
      <c r="CG32" s="916">
        <f>SUM(CE32+CF32)</f>
        <v>0</v>
      </c>
      <c r="CH32" s="916">
        <f>SUM(F32+K32+P32+U32+Z32+AE32+AJ32+AO32+AT32+AY32+BD32+BI32+BN32+BS32+BX32+CC32)</f>
        <v>0</v>
      </c>
    </row>
    <row r="33" spans="1:86" ht="14.25" customHeight="1">
      <c r="A33" s="380" t="s">
        <v>713</v>
      </c>
      <c r="B33" s="380"/>
      <c r="C33" s="921">
        <v>0</v>
      </c>
      <c r="D33" s="922"/>
      <c r="E33" s="909">
        <f t="shared" si="46"/>
        <v>0</v>
      </c>
      <c r="F33" s="909"/>
      <c r="G33" s="909"/>
      <c r="H33" s="921">
        <v>0</v>
      </c>
      <c r="I33" s="922"/>
      <c r="J33" s="909">
        <f t="shared" si="32"/>
        <v>0</v>
      </c>
      <c r="K33" s="910"/>
      <c r="L33" s="909"/>
      <c r="M33" s="921">
        <v>0</v>
      </c>
      <c r="N33" s="922"/>
      <c r="O33" s="909">
        <f t="shared" si="33"/>
        <v>0</v>
      </c>
      <c r="P33" s="910"/>
      <c r="Q33" s="909"/>
      <c r="R33" s="921">
        <v>0</v>
      </c>
      <c r="S33" s="922"/>
      <c r="T33" s="909">
        <f t="shared" si="34"/>
        <v>0</v>
      </c>
      <c r="U33" s="909"/>
      <c r="V33" s="909"/>
      <c r="W33" s="914">
        <v>0</v>
      </c>
      <c r="X33" s="923"/>
      <c r="Y33" s="914">
        <f t="shared" si="31"/>
        <v>0</v>
      </c>
      <c r="Z33" s="910"/>
      <c r="AA33" s="914"/>
      <c r="AB33" s="914">
        <v>0</v>
      </c>
      <c r="AC33" s="923"/>
      <c r="AD33" s="914">
        <f t="shared" si="35"/>
        <v>0</v>
      </c>
      <c r="AE33" s="910"/>
      <c r="AF33" s="914"/>
      <c r="AG33" s="914">
        <v>0</v>
      </c>
      <c r="AH33" s="923"/>
      <c r="AI33" s="914">
        <f t="shared" si="36"/>
        <v>0</v>
      </c>
      <c r="AJ33" s="910"/>
      <c r="AK33" s="914"/>
      <c r="AL33" s="914">
        <v>0</v>
      </c>
      <c r="AM33" s="923"/>
      <c r="AN33" s="914">
        <f t="shared" si="37"/>
        <v>0</v>
      </c>
      <c r="AO33" s="910"/>
      <c r="AP33" s="914"/>
      <c r="AQ33" s="914">
        <v>0</v>
      </c>
      <c r="AR33" s="923"/>
      <c r="AS33" s="914">
        <f t="shared" si="38"/>
        <v>0</v>
      </c>
      <c r="AT33" s="910"/>
      <c r="AU33" s="914"/>
      <c r="AV33" s="914">
        <v>0</v>
      </c>
      <c r="AW33" s="923"/>
      <c r="AX33" s="914">
        <f t="shared" si="39"/>
        <v>0</v>
      </c>
      <c r="AY33" s="910"/>
      <c r="AZ33" s="914"/>
      <c r="BA33" s="914">
        <v>0</v>
      </c>
      <c r="BB33" s="923"/>
      <c r="BC33" s="914">
        <f t="shared" si="40"/>
        <v>0</v>
      </c>
      <c r="BD33" s="910"/>
      <c r="BE33" s="914"/>
      <c r="BF33" s="914">
        <v>0</v>
      </c>
      <c r="BG33" s="923"/>
      <c r="BH33" s="914">
        <f t="shared" si="41"/>
        <v>0</v>
      </c>
      <c r="BI33" s="910"/>
      <c r="BJ33" s="914"/>
      <c r="BK33" s="914">
        <v>0</v>
      </c>
      <c r="BL33" s="923"/>
      <c r="BM33" s="914">
        <f t="shared" si="42"/>
        <v>0</v>
      </c>
      <c r="BN33" s="910"/>
      <c r="BO33" s="914"/>
      <c r="BP33" s="914">
        <v>0</v>
      </c>
      <c r="BQ33" s="923"/>
      <c r="BR33" s="914">
        <f t="shared" si="43"/>
        <v>0</v>
      </c>
      <c r="BS33" s="910"/>
      <c r="BT33" s="914"/>
      <c r="BU33" s="914">
        <v>0</v>
      </c>
      <c r="BV33" s="923"/>
      <c r="BW33" s="914">
        <f t="shared" si="44"/>
        <v>0</v>
      </c>
      <c r="BX33" s="910"/>
      <c r="BY33" s="914"/>
      <c r="BZ33" s="914">
        <v>0</v>
      </c>
      <c r="CA33" s="923"/>
      <c r="CB33" s="914">
        <f t="shared" si="45"/>
        <v>0</v>
      </c>
      <c r="CC33" s="910"/>
      <c r="CD33" s="915">
        <f t="shared" si="26"/>
        <v>0</v>
      </c>
      <c r="CE33" s="916">
        <f t="shared" si="27"/>
        <v>0</v>
      </c>
      <c r="CF33" s="917">
        <f t="shared" si="28"/>
        <v>0</v>
      </c>
      <c r="CG33" s="916">
        <f>SUM(CE33+CF33)</f>
        <v>0</v>
      </c>
      <c r="CH33" s="916">
        <f>SUM(F33+K33+P33+U33+Z33+AE33+AJ33+AO33+AT33+AY33+BD33+BI33+BN33+BS33+BX33+CC33)</f>
        <v>0</v>
      </c>
    </row>
    <row r="34" spans="1:86" ht="14.25" customHeight="1">
      <c r="A34" s="380" t="s">
        <v>714</v>
      </c>
      <c r="B34" s="380"/>
      <c r="C34" s="921">
        <v>0</v>
      </c>
      <c r="D34" s="922"/>
      <c r="E34" s="909">
        <f t="shared" si="46"/>
        <v>0</v>
      </c>
      <c r="F34" s="909"/>
      <c r="G34" s="909"/>
      <c r="H34" s="921">
        <v>0</v>
      </c>
      <c r="I34" s="922"/>
      <c r="J34" s="909">
        <f t="shared" si="32"/>
        <v>0</v>
      </c>
      <c r="K34" s="910"/>
      <c r="L34" s="909"/>
      <c r="M34" s="921">
        <v>0</v>
      </c>
      <c r="N34" s="922"/>
      <c r="O34" s="909">
        <f t="shared" si="33"/>
        <v>0</v>
      </c>
      <c r="P34" s="910"/>
      <c r="Q34" s="909"/>
      <c r="R34" s="921">
        <v>0</v>
      </c>
      <c r="S34" s="922"/>
      <c r="T34" s="909">
        <f t="shared" si="34"/>
        <v>0</v>
      </c>
      <c r="U34" s="909"/>
      <c r="V34" s="909"/>
      <c r="W34" s="914">
        <v>0</v>
      </c>
      <c r="X34" s="923"/>
      <c r="Y34" s="914">
        <f t="shared" si="31"/>
        <v>0</v>
      </c>
      <c r="Z34" s="910"/>
      <c r="AA34" s="914"/>
      <c r="AB34" s="914">
        <v>0</v>
      </c>
      <c r="AC34" s="923"/>
      <c r="AD34" s="914">
        <f t="shared" si="35"/>
        <v>0</v>
      </c>
      <c r="AE34" s="910"/>
      <c r="AF34" s="914"/>
      <c r="AG34" s="914">
        <v>0</v>
      </c>
      <c r="AH34" s="923"/>
      <c r="AI34" s="914">
        <f t="shared" si="36"/>
        <v>0</v>
      </c>
      <c r="AJ34" s="910"/>
      <c r="AK34" s="914"/>
      <c r="AL34" s="914">
        <v>0</v>
      </c>
      <c r="AM34" s="923"/>
      <c r="AN34" s="914">
        <f t="shared" si="37"/>
        <v>0</v>
      </c>
      <c r="AO34" s="910"/>
      <c r="AP34" s="914"/>
      <c r="AQ34" s="914">
        <v>0</v>
      </c>
      <c r="AR34" s="923"/>
      <c r="AS34" s="914">
        <f t="shared" si="38"/>
        <v>0</v>
      </c>
      <c r="AT34" s="910"/>
      <c r="AU34" s="914"/>
      <c r="AV34" s="914">
        <v>0</v>
      </c>
      <c r="AW34" s="923"/>
      <c r="AX34" s="914">
        <f t="shared" si="39"/>
        <v>0</v>
      </c>
      <c r="AY34" s="910"/>
      <c r="AZ34" s="914"/>
      <c r="BA34" s="914">
        <v>0</v>
      </c>
      <c r="BB34" s="923"/>
      <c r="BC34" s="914">
        <f t="shared" si="40"/>
        <v>0</v>
      </c>
      <c r="BD34" s="910"/>
      <c r="BE34" s="914"/>
      <c r="BF34" s="914">
        <v>0</v>
      </c>
      <c r="BG34" s="923"/>
      <c r="BH34" s="914">
        <f t="shared" si="41"/>
        <v>0</v>
      </c>
      <c r="BI34" s="910"/>
      <c r="BJ34" s="914"/>
      <c r="BK34" s="914">
        <v>0</v>
      </c>
      <c r="BL34" s="923"/>
      <c r="BM34" s="914">
        <f t="shared" si="42"/>
        <v>0</v>
      </c>
      <c r="BN34" s="910"/>
      <c r="BO34" s="914"/>
      <c r="BP34" s="914">
        <v>0</v>
      </c>
      <c r="BQ34" s="923"/>
      <c r="BR34" s="914">
        <f t="shared" si="43"/>
        <v>0</v>
      </c>
      <c r="BS34" s="910"/>
      <c r="BT34" s="914"/>
      <c r="BU34" s="914">
        <v>0</v>
      </c>
      <c r="BV34" s="923"/>
      <c r="BW34" s="914">
        <f t="shared" si="44"/>
        <v>0</v>
      </c>
      <c r="BX34" s="910"/>
      <c r="BY34" s="914"/>
      <c r="BZ34" s="914">
        <v>0</v>
      </c>
      <c r="CA34" s="923"/>
      <c r="CB34" s="914">
        <f t="shared" si="45"/>
        <v>0</v>
      </c>
      <c r="CC34" s="910"/>
      <c r="CD34" s="915">
        <f t="shared" si="26"/>
        <v>0</v>
      </c>
      <c r="CE34" s="916">
        <f t="shared" si="27"/>
        <v>0</v>
      </c>
      <c r="CF34" s="917">
        <f t="shared" si="28"/>
        <v>0</v>
      </c>
      <c r="CG34" s="916">
        <f>SUM(CE34+CF34)</f>
        <v>0</v>
      </c>
      <c r="CH34" s="916">
        <f>SUM(F34+K34+P34+U34+Z34+AE34+AJ34+AO34+AT34+AY34+BD34+BI34+BN34+BS34+BX34+CC34)</f>
        <v>0</v>
      </c>
    </row>
    <row r="35" spans="1:86" s="927" customFormat="1" ht="14.25" customHeight="1">
      <c r="A35" s="924" t="s">
        <v>715</v>
      </c>
      <c r="B35" s="924">
        <f t="shared" ref="B35:AG35" si="47">SUM(B18:B34)</f>
        <v>1334829703</v>
      </c>
      <c r="C35" s="924">
        <f t="shared" si="47"/>
        <v>1427542901</v>
      </c>
      <c r="D35" s="924">
        <f t="shared" si="47"/>
        <v>2927687</v>
      </c>
      <c r="E35" s="925">
        <f t="shared" si="47"/>
        <v>1494332693</v>
      </c>
      <c r="F35" s="924">
        <f t="shared" si="47"/>
        <v>1422776138</v>
      </c>
      <c r="G35" s="924">
        <f t="shared" si="47"/>
        <v>475987011</v>
      </c>
      <c r="H35" s="924">
        <f t="shared" si="47"/>
        <v>492768904</v>
      </c>
      <c r="I35" s="924">
        <f t="shared" si="47"/>
        <v>9725706</v>
      </c>
      <c r="J35" s="925">
        <f t="shared" si="47"/>
        <v>535424047</v>
      </c>
      <c r="K35" s="926">
        <f t="shared" si="47"/>
        <v>508367752</v>
      </c>
      <c r="L35" s="924">
        <f t="shared" si="47"/>
        <v>689919401</v>
      </c>
      <c r="M35" s="924">
        <f t="shared" si="47"/>
        <v>719914788</v>
      </c>
      <c r="N35" s="924">
        <f t="shared" si="47"/>
        <v>8192527</v>
      </c>
      <c r="O35" s="925">
        <f t="shared" si="47"/>
        <v>735365660</v>
      </c>
      <c r="P35" s="926">
        <f t="shared" si="47"/>
        <v>669855252</v>
      </c>
      <c r="Q35" s="924">
        <f t="shared" si="47"/>
        <v>778338517</v>
      </c>
      <c r="R35" s="924">
        <f t="shared" si="47"/>
        <v>809012856</v>
      </c>
      <c r="S35" s="924">
        <f t="shared" si="47"/>
        <v>-375935</v>
      </c>
      <c r="T35" s="925">
        <f t="shared" si="47"/>
        <v>807889963</v>
      </c>
      <c r="U35" s="924">
        <f t="shared" si="47"/>
        <v>706444202</v>
      </c>
      <c r="V35" s="924">
        <f t="shared" si="47"/>
        <v>132724989</v>
      </c>
      <c r="W35" s="924">
        <f t="shared" si="47"/>
        <v>132982082</v>
      </c>
      <c r="X35" s="924">
        <f t="shared" si="47"/>
        <v>2006691</v>
      </c>
      <c r="Y35" s="925">
        <f t="shared" si="47"/>
        <v>137173033</v>
      </c>
      <c r="Z35" s="926">
        <f t="shared" si="47"/>
        <v>133284675</v>
      </c>
      <c r="AA35" s="924">
        <f t="shared" si="47"/>
        <v>220744214</v>
      </c>
      <c r="AB35" s="924">
        <f t="shared" si="47"/>
        <v>228021584</v>
      </c>
      <c r="AC35" s="924">
        <f t="shared" si="47"/>
        <v>-2991188</v>
      </c>
      <c r="AD35" s="925">
        <f t="shared" si="47"/>
        <v>228645757</v>
      </c>
      <c r="AE35" s="926">
        <f t="shared" si="47"/>
        <v>219075656</v>
      </c>
      <c r="AF35" s="924">
        <f t="shared" si="47"/>
        <v>164202111</v>
      </c>
      <c r="AG35" s="924">
        <f t="shared" si="47"/>
        <v>166056616</v>
      </c>
      <c r="AH35" s="924">
        <f t="shared" ref="AH35:BM35" si="48">SUM(AH18:AH34)</f>
        <v>1476770</v>
      </c>
      <c r="AI35" s="925">
        <f t="shared" si="48"/>
        <v>169750745</v>
      </c>
      <c r="AJ35" s="926">
        <f t="shared" si="48"/>
        <v>162989485</v>
      </c>
      <c r="AK35" s="924">
        <f t="shared" si="48"/>
        <v>227910032</v>
      </c>
      <c r="AL35" s="924">
        <f t="shared" si="48"/>
        <v>228803117</v>
      </c>
      <c r="AM35" s="924">
        <f t="shared" si="48"/>
        <v>3800920</v>
      </c>
      <c r="AN35" s="925">
        <f t="shared" si="48"/>
        <v>237286826</v>
      </c>
      <c r="AO35" s="926">
        <f t="shared" si="48"/>
        <v>230336003</v>
      </c>
      <c r="AP35" s="924">
        <f t="shared" si="48"/>
        <v>149175663</v>
      </c>
      <c r="AQ35" s="924">
        <f t="shared" si="48"/>
        <v>150416961</v>
      </c>
      <c r="AR35" s="924">
        <f t="shared" si="48"/>
        <v>67885</v>
      </c>
      <c r="AS35" s="925">
        <f t="shared" si="48"/>
        <v>153302363</v>
      </c>
      <c r="AT35" s="926">
        <f t="shared" si="48"/>
        <v>146291633</v>
      </c>
      <c r="AU35" s="924">
        <f t="shared" si="48"/>
        <v>148000702</v>
      </c>
      <c r="AV35" s="924">
        <f t="shared" si="48"/>
        <v>151492333</v>
      </c>
      <c r="AW35" s="924">
        <f t="shared" si="48"/>
        <v>1697936</v>
      </c>
      <c r="AX35" s="925">
        <f t="shared" si="48"/>
        <v>156763856</v>
      </c>
      <c r="AY35" s="926">
        <f t="shared" si="48"/>
        <v>150485429</v>
      </c>
      <c r="AZ35" s="924">
        <f t="shared" si="48"/>
        <v>178779472</v>
      </c>
      <c r="BA35" s="924">
        <f t="shared" si="48"/>
        <v>183664609</v>
      </c>
      <c r="BB35" s="924">
        <f t="shared" si="48"/>
        <v>2708931</v>
      </c>
      <c r="BC35" s="925">
        <f t="shared" si="48"/>
        <v>190692117</v>
      </c>
      <c r="BD35" s="926">
        <f t="shared" si="48"/>
        <v>184271483</v>
      </c>
      <c r="BE35" s="924">
        <f t="shared" si="48"/>
        <v>155269049</v>
      </c>
      <c r="BF35" s="924">
        <f t="shared" si="48"/>
        <v>157588322</v>
      </c>
      <c r="BG35" s="924">
        <f t="shared" si="48"/>
        <v>825137</v>
      </c>
      <c r="BH35" s="925">
        <f t="shared" si="48"/>
        <v>159657469</v>
      </c>
      <c r="BI35" s="926">
        <f t="shared" si="48"/>
        <v>149777574</v>
      </c>
      <c r="BJ35" s="924">
        <f t="shared" si="48"/>
        <v>152555832</v>
      </c>
      <c r="BK35" s="924">
        <f t="shared" si="48"/>
        <v>154549513</v>
      </c>
      <c r="BL35" s="924">
        <f t="shared" si="48"/>
        <v>1583141</v>
      </c>
      <c r="BM35" s="925">
        <f t="shared" si="48"/>
        <v>159472491</v>
      </c>
      <c r="BN35" s="926">
        <f t="shared" ref="BN35:CH35" si="49">SUM(BN18:BN34)</f>
        <v>150951981</v>
      </c>
      <c r="BO35" s="924">
        <f t="shared" si="49"/>
        <v>154766086</v>
      </c>
      <c r="BP35" s="924">
        <f t="shared" si="49"/>
        <v>155883834</v>
      </c>
      <c r="BQ35" s="924">
        <f t="shared" si="49"/>
        <v>2225532</v>
      </c>
      <c r="BR35" s="925">
        <f t="shared" si="49"/>
        <v>161391409</v>
      </c>
      <c r="BS35" s="926">
        <f t="shared" si="49"/>
        <v>156730723</v>
      </c>
      <c r="BT35" s="924">
        <f t="shared" si="49"/>
        <v>128257019</v>
      </c>
      <c r="BU35" s="924">
        <f t="shared" si="49"/>
        <v>130065177</v>
      </c>
      <c r="BV35" s="924">
        <f t="shared" si="49"/>
        <v>1938660</v>
      </c>
      <c r="BW35" s="925">
        <f t="shared" si="49"/>
        <v>134670097</v>
      </c>
      <c r="BX35" s="926">
        <f t="shared" si="49"/>
        <v>131043475</v>
      </c>
      <c r="BY35" s="924">
        <f t="shared" si="49"/>
        <v>2061831433</v>
      </c>
      <c r="BZ35" s="924">
        <f t="shared" si="49"/>
        <v>2165299333</v>
      </c>
      <c r="CA35" s="924">
        <f t="shared" si="49"/>
        <v>-41815653</v>
      </c>
      <c r="CB35" s="925">
        <f t="shared" si="49"/>
        <v>2168712800</v>
      </c>
      <c r="CC35" s="926">
        <f t="shared" si="49"/>
        <v>2014442224</v>
      </c>
      <c r="CD35" s="924">
        <f t="shared" si="49"/>
        <v>7153291234</v>
      </c>
      <c r="CE35" s="924">
        <f t="shared" si="49"/>
        <v>7454062930</v>
      </c>
      <c r="CF35" s="924">
        <f t="shared" si="49"/>
        <v>-6005253</v>
      </c>
      <c r="CG35" s="924">
        <f t="shared" si="49"/>
        <v>7630531326</v>
      </c>
      <c r="CH35" s="924">
        <f t="shared" si="49"/>
        <v>7137123685</v>
      </c>
    </row>
    <row r="36" spans="1:86">
      <c r="A36" s="634" t="s">
        <v>26</v>
      </c>
      <c r="B36" s="907">
        <v>34311000</v>
      </c>
      <c r="C36" s="907">
        <v>51391000</v>
      </c>
      <c r="D36" s="908"/>
      <c r="E36" s="909">
        <v>51818504</v>
      </c>
      <c r="F36" s="909">
        <v>45997289</v>
      </c>
      <c r="G36" s="928">
        <v>4877000</v>
      </c>
      <c r="H36" s="928">
        <v>17612326</v>
      </c>
      <c r="I36" s="908"/>
      <c r="J36" s="909">
        <v>21101626</v>
      </c>
      <c r="K36" s="910">
        <v>16037753</v>
      </c>
      <c r="L36" s="928">
        <v>9720000</v>
      </c>
      <c r="M36" s="907">
        <v>27203611</v>
      </c>
      <c r="N36" s="908">
        <v>802506</v>
      </c>
      <c r="O36" s="909">
        <v>30448985</v>
      </c>
      <c r="P36" s="910">
        <v>27784125</v>
      </c>
      <c r="Q36" s="907">
        <v>13056000</v>
      </c>
      <c r="R36" s="907">
        <v>29787000</v>
      </c>
      <c r="S36" s="908"/>
      <c r="T36" s="909">
        <v>33804000</v>
      </c>
      <c r="U36" s="909">
        <v>28582978</v>
      </c>
      <c r="V36" s="928">
        <v>963000</v>
      </c>
      <c r="W36" s="912">
        <v>5408000</v>
      </c>
      <c r="X36" s="913"/>
      <c r="Y36" s="914">
        <v>4226024</v>
      </c>
      <c r="Z36" s="910">
        <v>3982715</v>
      </c>
      <c r="AA36" s="929">
        <v>1102000</v>
      </c>
      <c r="AB36" s="912">
        <v>21346995</v>
      </c>
      <c r="AC36" s="913"/>
      <c r="AD36" s="914">
        <v>23069096</v>
      </c>
      <c r="AE36" s="910">
        <v>20160102</v>
      </c>
      <c r="AF36" s="929">
        <v>11443000</v>
      </c>
      <c r="AG36" s="912">
        <v>31991600</v>
      </c>
      <c r="AH36" s="913"/>
      <c r="AI36" s="914">
        <v>33289552</v>
      </c>
      <c r="AJ36" s="910">
        <v>31929695</v>
      </c>
      <c r="AK36" s="929">
        <v>1645000</v>
      </c>
      <c r="AL36" s="912">
        <v>4185000</v>
      </c>
      <c r="AM36" s="913"/>
      <c r="AN36" s="914">
        <v>7740079</v>
      </c>
      <c r="AO36" s="910">
        <v>3926986</v>
      </c>
      <c r="AP36" s="929">
        <v>1621000</v>
      </c>
      <c r="AQ36" s="912">
        <v>2700500</v>
      </c>
      <c r="AR36" s="913"/>
      <c r="AS36" s="914">
        <v>2612023</v>
      </c>
      <c r="AT36" s="910">
        <v>2354934</v>
      </c>
      <c r="AU36" s="929">
        <v>685000</v>
      </c>
      <c r="AV36" s="912">
        <v>1391999</v>
      </c>
      <c r="AW36" s="913"/>
      <c r="AX36" s="914">
        <v>1471294</v>
      </c>
      <c r="AY36" s="910">
        <v>1159927</v>
      </c>
      <c r="AZ36" s="929">
        <v>2050000</v>
      </c>
      <c r="BA36" s="912">
        <v>6602091</v>
      </c>
      <c r="BB36" s="913"/>
      <c r="BC36" s="914">
        <v>9581867</v>
      </c>
      <c r="BD36" s="910">
        <v>8666867</v>
      </c>
      <c r="BE36" s="929">
        <v>909000</v>
      </c>
      <c r="BF36" s="912">
        <v>2242500</v>
      </c>
      <c r="BG36" s="913"/>
      <c r="BH36" s="914">
        <v>2474489</v>
      </c>
      <c r="BI36" s="910">
        <v>2384800</v>
      </c>
      <c r="BJ36" s="929">
        <v>631000</v>
      </c>
      <c r="BK36" s="912">
        <v>948500</v>
      </c>
      <c r="BL36" s="913"/>
      <c r="BM36" s="914">
        <v>2853905</v>
      </c>
      <c r="BN36" s="910">
        <v>904378</v>
      </c>
      <c r="BO36" s="929">
        <v>2854000</v>
      </c>
      <c r="BP36" s="912">
        <v>6664000</v>
      </c>
      <c r="BQ36" s="913"/>
      <c r="BR36" s="914">
        <v>6873388</v>
      </c>
      <c r="BS36" s="910">
        <v>6808274</v>
      </c>
      <c r="BT36" s="929">
        <v>963000</v>
      </c>
      <c r="BU36" s="912">
        <v>1153500</v>
      </c>
      <c r="BV36" s="913">
        <v>1905000</v>
      </c>
      <c r="BW36" s="914">
        <v>3138621</v>
      </c>
      <c r="BX36" s="910">
        <v>3031569</v>
      </c>
      <c r="BY36" s="912">
        <v>63170000</v>
      </c>
      <c r="BZ36" s="912">
        <v>90473872</v>
      </c>
      <c r="CA36" s="913">
        <v>-12611914</v>
      </c>
      <c r="CB36" s="914">
        <v>82146710</v>
      </c>
      <c r="CC36" s="910">
        <v>67100224</v>
      </c>
      <c r="CD36" s="915">
        <f t="shared" ref="CD36:CH42" si="50">SUM(B36+G36+L36+Q36+V36+AA36+AF36+AK36+AP36+AU36+AZ36+BE36+BJ36+BO36+BT36+BY36)</f>
        <v>150000000</v>
      </c>
      <c r="CE36" s="915">
        <f t="shared" si="50"/>
        <v>301102494</v>
      </c>
      <c r="CF36" s="917">
        <f t="shared" si="50"/>
        <v>-9904408</v>
      </c>
      <c r="CG36" s="930">
        <f t="shared" si="50"/>
        <v>316650163</v>
      </c>
      <c r="CH36" s="930">
        <f t="shared" si="50"/>
        <v>270812616</v>
      </c>
    </row>
    <row r="37" spans="1:86" ht="15" customHeight="1">
      <c r="A37" s="634" t="s">
        <v>28</v>
      </c>
      <c r="B37" s="907">
        <v>29666000</v>
      </c>
      <c r="C37" s="907">
        <v>81302000</v>
      </c>
      <c r="D37" s="908"/>
      <c r="E37" s="909">
        <v>29659127</v>
      </c>
      <c r="F37" s="909">
        <v>29658659</v>
      </c>
      <c r="G37" s="928">
        <v>100711000</v>
      </c>
      <c r="H37" s="928">
        <v>100711000</v>
      </c>
      <c r="I37" s="908"/>
      <c r="J37" s="909">
        <v>106838629</v>
      </c>
      <c r="K37" s="910">
        <v>99044173</v>
      </c>
      <c r="L37" s="928">
        <v>38735000</v>
      </c>
      <c r="M37" s="907">
        <v>38735000</v>
      </c>
      <c r="N37" s="908"/>
      <c r="O37" s="909">
        <v>26392653</v>
      </c>
      <c r="P37" s="910">
        <v>26392653</v>
      </c>
      <c r="Q37" s="928">
        <v>65674000</v>
      </c>
      <c r="R37" s="907">
        <v>79465000</v>
      </c>
      <c r="S37" s="908">
        <v>5994794</v>
      </c>
      <c r="T37" s="909">
        <v>89459794</v>
      </c>
      <c r="U37" s="909">
        <v>72935572</v>
      </c>
      <c r="V37" s="928">
        <v>13335000</v>
      </c>
      <c r="W37" s="912">
        <v>13335000</v>
      </c>
      <c r="X37" s="913"/>
      <c r="Y37" s="914">
        <v>17865367</v>
      </c>
      <c r="Z37" s="910">
        <v>13039367</v>
      </c>
      <c r="AA37" s="929">
        <v>3175000</v>
      </c>
      <c r="AB37" s="912">
        <v>10794591</v>
      </c>
      <c r="AC37" s="913">
        <v>2222500</v>
      </c>
      <c r="AD37" s="914">
        <v>14636491</v>
      </c>
      <c r="AE37" s="910">
        <v>10716128</v>
      </c>
      <c r="AF37" s="929"/>
      <c r="AG37" s="912"/>
      <c r="AH37" s="913"/>
      <c r="AI37" s="914">
        <f t="shared" ref="AI37:AI44" si="51">SUM(AG37+AH37)</f>
        <v>0</v>
      </c>
      <c r="AJ37" s="910"/>
      <c r="AK37" s="929">
        <v>27940000</v>
      </c>
      <c r="AL37" s="912">
        <v>27940000</v>
      </c>
      <c r="AM37" s="913"/>
      <c r="AN37" s="914">
        <v>28540178</v>
      </c>
      <c r="AO37" s="910">
        <v>27905178</v>
      </c>
      <c r="AP37" s="929">
        <v>1905000</v>
      </c>
      <c r="AQ37" s="912">
        <v>1905000</v>
      </c>
      <c r="AR37" s="913"/>
      <c r="AS37" s="914">
        <v>1786357</v>
      </c>
      <c r="AT37" s="910">
        <v>1786357</v>
      </c>
      <c r="AU37" s="929"/>
      <c r="AV37" s="912"/>
      <c r="AW37" s="913"/>
      <c r="AX37" s="914">
        <f t="shared" ref="AX37:AX44" si="52">SUM(AV37+AW37)</f>
        <v>0</v>
      </c>
      <c r="AY37" s="910"/>
      <c r="AZ37" s="929"/>
      <c r="BA37" s="912"/>
      <c r="BB37" s="913"/>
      <c r="BC37" s="914">
        <v>3810000</v>
      </c>
      <c r="BD37" s="910"/>
      <c r="BE37" s="929">
        <v>18415000</v>
      </c>
      <c r="BF37" s="912">
        <v>18415000</v>
      </c>
      <c r="BG37" s="913"/>
      <c r="BH37" s="914">
        <v>18521294</v>
      </c>
      <c r="BI37" s="910">
        <v>18521294</v>
      </c>
      <c r="BJ37" s="929">
        <v>55626000</v>
      </c>
      <c r="BK37" s="912">
        <v>55626000</v>
      </c>
      <c r="BL37" s="913"/>
      <c r="BM37" s="914">
        <v>42818899</v>
      </c>
      <c r="BN37" s="910">
        <v>33523701</v>
      </c>
      <c r="BO37" s="929">
        <v>63500000</v>
      </c>
      <c r="BP37" s="912">
        <v>63500000</v>
      </c>
      <c r="BQ37" s="913"/>
      <c r="BR37" s="914">
        <v>67790468</v>
      </c>
      <c r="BS37" s="910">
        <v>66520467</v>
      </c>
      <c r="BT37" s="929"/>
      <c r="BU37" s="912"/>
      <c r="BV37" s="913"/>
      <c r="BW37" s="914">
        <v>1270000</v>
      </c>
      <c r="BX37" s="910"/>
      <c r="BY37" s="929">
        <v>244348000</v>
      </c>
      <c r="BZ37" s="912">
        <v>261754178</v>
      </c>
      <c r="CA37" s="913">
        <v>-203040234</v>
      </c>
      <c r="CB37" s="914">
        <v>72729138</v>
      </c>
      <c r="CC37" s="910">
        <v>57857862</v>
      </c>
      <c r="CD37" s="915">
        <f t="shared" si="50"/>
        <v>663030000</v>
      </c>
      <c r="CE37" s="915">
        <f t="shared" si="50"/>
        <v>753482769</v>
      </c>
      <c r="CF37" s="917">
        <f t="shared" si="50"/>
        <v>-194822940</v>
      </c>
      <c r="CG37" s="930">
        <f t="shared" si="50"/>
        <v>522118395</v>
      </c>
      <c r="CH37" s="930">
        <f t="shared" si="50"/>
        <v>457901411</v>
      </c>
    </row>
    <row r="38" spans="1:86" ht="27.75" hidden="1" customHeight="1">
      <c r="A38" s="634" t="s">
        <v>30</v>
      </c>
      <c r="B38" s="634"/>
      <c r="C38" s="907"/>
      <c r="D38" s="908"/>
      <c r="E38" s="909">
        <f t="shared" ref="E38:E44" si="53">SUM(C38+D38)</f>
        <v>0</v>
      </c>
      <c r="F38" s="909"/>
      <c r="G38" s="928"/>
      <c r="H38" s="907"/>
      <c r="I38" s="908"/>
      <c r="J38" s="909">
        <f t="shared" ref="J38:J44" si="54">SUM(H38+I38)</f>
        <v>0</v>
      </c>
      <c r="K38" s="910"/>
      <c r="L38" s="928"/>
      <c r="M38" s="907"/>
      <c r="N38" s="908"/>
      <c r="O38" s="909">
        <f t="shared" ref="O38:O44" si="55">SUM(M38+N38)</f>
        <v>0</v>
      </c>
      <c r="P38" s="910"/>
      <c r="Q38" s="928"/>
      <c r="R38" s="907"/>
      <c r="S38" s="908"/>
      <c r="T38" s="909">
        <f t="shared" ref="T38:T44" si="56">SUM(R38+S38)</f>
        <v>0</v>
      </c>
      <c r="U38" s="909"/>
      <c r="V38" s="928"/>
      <c r="W38" s="912"/>
      <c r="X38" s="913"/>
      <c r="Y38" s="914">
        <f t="shared" ref="Y38:Y44" si="57">SUM(W38+X38)</f>
        <v>0</v>
      </c>
      <c r="Z38" s="910"/>
      <c r="AA38" s="929"/>
      <c r="AB38" s="912"/>
      <c r="AC38" s="913"/>
      <c r="AD38" s="914">
        <f t="shared" ref="AD38:AD44" si="58">SUM(AB38+AC38)</f>
        <v>0</v>
      </c>
      <c r="AE38" s="910"/>
      <c r="AF38" s="929"/>
      <c r="AG38" s="912"/>
      <c r="AH38" s="913"/>
      <c r="AI38" s="914">
        <f t="shared" si="51"/>
        <v>0</v>
      </c>
      <c r="AJ38" s="910"/>
      <c r="AK38" s="929"/>
      <c r="AL38" s="912"/>
      <c r="AM38" s="913"/>
      <c r="AN38" s="914">
        <f t="shared" ref="AN38:AN44" si="59">SUM(AL38+AM38)</f>
        <v>0</v>
      </c>
      <c r="AO38" s="910"/>
      <c r="AP38" s="929"/>
      <c r="AQ38" s="912"/>
      <c r="AR38" s="913"/>
      <c r="AS38" s="914">
        <f t="shared" ref="AS38:AS44" si="60">SUM(AQ38+AR38)</f>
        <v>0</v>
      </c>
      <c r="AT38" s="910"/>
      <c r="AU38" s="929"/>
      <c r="AV38" s="912"/>
      <c r="AW38" s="913"/>
      <c r="AX38" s="914">
        <f t="shared" si="52"/>
        <v>0</v>
      </c>
      <c r="AY38" s="910"/>
      <c r="AZ38" s="929"/>
      <c r="BA38" s="912"/>
      <c r="BB38" s="913"/>
      <c r="BC38" s="914">
        <f t="shared" ref="BC38:BC44" si="61">SUM(BA38+BB38)</f>
        <v>0</v>
      </c>
      <c r="BD38" s="910"/>
      <c r="BE38" s="929"/>
      <c r="BF38" s="912"/>
      <c r="BG38" s="913"/>
      <c r="BH38" s="914">
        <f t="shared" ref="BH38:BH44" si="62">SUM(BF38+BG38)</f>
        <v>0</v>
      </c>
      <c r="BI38" s="910"/>
      <c r="BJ38" s="929"/>
      <c r="BK38" s="912"/>
      <c r="BL38" s="913"/>
      <c r="BM38" s="914">
        <f t="shared" ref="BM38:BM44" si="63">SUM(BK38+BL38)</f>
        <v>0</v>
      </c>
      <c r="BN38" s="910"/>
      <c r="BO38" s="929"/>
      <c r="BP38" s="912"/>
      <c r="BQ38" s="913"/>
      <c r="BR38" s="914">
        <f t="shared" ref="BR38:BR44" si="64">SUM(BP38+BQ38)</f>
        <v>0</v>
      </c>
      <c r="BS38" s="910"/>
      <c r="BT38" s="929"/>
      <c r="BU38" s="912"/>
      <c r="BV38" s="913"/>
      <c r="BW38" s="914">
        <f t="shared" ref="BW38:BW44" si="65">SUM(BU38+BV38)</f>
        <v>0</v>
      </c>
      <c r="BX38" s="910"/>
      <c r="BY38" s="929"/>
      <c r="BZ38" s="912"/>
      <c r="CA38" s="913"/>
      <c r="CB38" s="914">
        <f t="shared" ref="CB38:CB44" si="66">SUM(BZ38+CA38)</f>
        <v>0</v>
      </c>
      <c r="CC38" s="910"/>
      <c r="CD38" s="915">
        <f t="shared" si="50"/>
        <v>0</v>
      </c>
      <c r="CE38" s="915">
        <f t="shared" si="50"/>
        <v>0</v>
      </c>
      <c r="CF38" s="917">
        <f t="shared" si="50"/>
        <v>0</v>
      </c>
      <c r="CG38" s="930">
        <f t="shared" si="50"/>
        <v>0</v>
      </c>
      <c r="CH38" s="930">
        <f t="shared" si="50"/>
        <v>0</v>
      </c>
    </row>
    <row r="39" spans="1:86" ht="15" customHeight="1">
      <c r="A39" s="380" t="s">
        <v>716</v>
      </c>
      <c r="B39" s="380"/>
      <c r="C39" s="907"/>
      <c r="D39" s="908"/>
      <c r="E39" s="909">
        <f t="shared" si="53"/>
        <v>0</v>
      </c>
      <c r="F39" s="909"/>
      <c r="G39" s="909"/>
      <c r="H39" s="907"/>
      <c r="I39" s="908"/>
      <c r="J39" s="909">
        <f t="shared" si="54"/>
        <v>0</v>
      </c>
      <c r="K39" s="910"/>
      <c r="L39" s="909"/>
      <c r="M39" s="907"/>
      <c r="N39" s="908"/>
      <c r="O39" s="909">
        <f t="shared" si="55"/>
        <v>0</v>
      </c>
      <c r="P39" s="910"/>
      <c r="Q39" s="909"/>
      <c r="R39" s="907"/>
      <c r="S39" s="908"/>
      <c r="T39" s="909">
        <f t="shared" si="56"/>
        <v>0</v>
      </c>
      <c r="U39" s="909"/>
      <c r="V39" s="909"/>
      <c r="W39" s="912"/>
      <c r="X39" s="913"/>
      <c r="Y39" s="914">
        <f t="shared" si="57"/>
        <v>0</v>
      </c>
      <c r="Z39" s="910"/>
      <c r="AA39" s="914"/>
      <c r="AB39" s="912"/>
      <c r="AC39" s="913"/>
      <c r="AD39" s="914">
        <f t="shared" si="58"/>
        <v>0</v>
      </c>
      <c r="AE39" s="910"/>
      <c r="AF39" s="914"/>
      <c r="AG39" s="912"/>
      <c r="AH39" s="913"/>
      <c r="AI39" s="914">
        <f t="shared" si="51"/>
        <v>0</v>
      </c>
      <c r="AJ39" s="910"/>
      <c r="AK39" s="914"/>
      <c r="AL39" s="912"/>
      <c r="AM39" s="913"/>
      <c r="AN39" s="914">
        <f t="shared" si="59"/>
        <v>0</v>
      </c>
      <c r="AO39" s="910"/>
      <c r="AP39" s="914"/>
      <c r="AQ39" s="912"/>
      <c r="AR39" s="913"/>
      <c r="AS39" s="914">
        <f t="shared" si="60"/>
        <v>0</v>
      </c>
      <c r="AT39" s="910"/>
      <c r="AU39" s="914"/>
      <c r="AV39" s="912"/>
      <c r="AW39" s="913"/>
      <c r="AX39" s="914">
        <f t="shared" si="52"/>
        <v>0</v>
      </c>
      <c r="AY39" s="910"/>
      <c r="AZ39" s="914"/>
      <c r="BA39" s="912"/>
      <c r="BB39" s="913"/>
      <c r="BC39" s="914">
        <f t="shared" si="61"/>
        <v>0</v>
      </c>
      <c r="BD39" s="910"/>
      <c r="BE39" s="914"/>
      <c r="BF39" s="912"/>
      <c r="BG39" s="913"/>
      <c r="BH39" s="914">
        <f t="shared" si="62"/>
        <v>0</v>
      </c>
      <c r="BI39" s="910"/>
      <c r="BJ39" s="914"/>
      <c r="BK39" s="912"/>
      <c r="BL39" s="913"/>
      <c r="BM39" s="914">
        <f t="shared" si="63"/>
        <v>0</v>
      </c>
      <c r="BN39" s="910"/>
      <c r="BO39" s="914"/>
      <c r="BP39" s="912"/>
      <c r="BQ39" s="913"/>
      <c r="BR39" s="914">
        <f t="shared" si="64"/>
        <v>0</v>
      </c>
      <c r="BS39" s="910"/>
      <c r="BT39" s="914"/>
      <c r="BU39" s="912"/>
      <c r="BV39" s="913"/>
      <c r="BW39" s="914">
        <f t="shared" si="65"/>
        <v>0</v>
      </c>
      <c r="BX39" s="910"/>
      <c r="BY39" s="914"/>
      <c r="BZ39" s="912"/>
      <c r="CA39" s="913"/>
      <c r="CB39" s="914">
        <f t="shared" si="66"/>
        <v>0</v>
      </c>
      <c r="CC39" s="910"/>
      <c r="CD39" s="915">
        <f t="shared" si="50"/>
        <v>0</v>
      </c>
      <c r="CE39" s="915">
        <f t="shared" si="50"/>
        <v>0</v>
      </c>
      <c r="CF39" s="917">
        <f t="shared" si="50"/>
        <v>0</v>
      </c>
      <c r="CG39" s="916">
        <f t="shared" si="50"/>
        <v>0</v>
      </c>
      <c r="CH39" s="930">
        <f t="shared" si="50"/>
        <v>0</v>
      </c>
    </row>
    <row r="40" spans="1:86" ht="15" customHeight="1">
      <c r="A40" s="380" t="s">
        <v>717</v>
      </c>
      <c r="B40" s="380"/>
      <c r="C40" s="907"/>
      <c r="D40" s="908"/>
      <c r="E40" s="909">
        <f t="shared" si="53"/>
        <v>0</v>
      </c>
      <c r="F40" s="909"/>
      <c r="G40" s="909"/>
      <c r="H40" s="907"/>
      <c r="I40" s="908"/>
      <c r="J40" s="909">
        <f t="shared" si="54"/>
        <v>0</v>
      </c>
      <c r="K40" s="910"/>
      <c r="L40" s="909"/>
      <c r="M40" s="907"/>
      <c r="N40" s="908"/>
      <c r="O40" s="909">
        <f t="shared" si="55"/>
        <v>0</v>
      </c>
      <c r="P40" s="910"/>
      <c r="Q40" s="909"/>
      <c r="R40" s="907"/>
      <c r="S40" s="908"/>
      <c r="T40" s="909">
        <f t="shared" si="56"/>
        <v>0</v>
      </c>
      <c r="U40" s="909"/>
      <c r="V40" s="909"/>
      <c r="W40" s="912"/>
      <c r="X40" s="913"/>
      <c r="Y40" s="914">
        <f t="shared" si="57"/>
        <v>0</v>
      </c>
      <c r="Z40" s="910"/>
      <c r="AA40" s="914"/>
      <c r="AB40" s="912"/>
      <c r="AC40" s="913"/>
      <c r="AD40" s="914">
        <f t="shared" si="58"/>
        <v>0</v>
      </c>
      <c r="AE40" s="910"/>
      <c r="AF40" s="914"/>
      <c r="AG40" s="912"/>
      <c r="AH40" s="913"/>
      <c r="AI40" s="914">
        <f t="shared" si="51"/>
        <v>0</v>
      </c>
      <c r="AJ40" s="910"/>
      <c r="AK40" s="914"/>
      <c r="AL40" s="912"/>
      <c r="AM40" s="913"/>
      <c r="AN40" s="914">
        <f t="shared" si="59"/>
        <v>0</v>
      </c>
      <c r="AO40" s="910"/>
      <c r="AP40" s="914"/>
      <c r="AQ40" s="912"/>
      <c r="AR40" s="913"/>
      <c r="AS40" s="914">
        <f t="shared" si="60"/>
        <v>0</v>
      </c>
      <c r="AT40" s="910"/>
      <c r="AU40" s="914"/>
      <c r="AV40" s="912"/>
      <c r="AW40" s="913"/>
      <c r="AX40" s="914">
        <f t="shared" si="52"/>
        <v>0</v>
      </c>
      <c r="AY40" s="910"/>
      <c r="AZ40" s="914"/>
      <c r="BA40" s="912"/>
      <c r="BB40" s="913"/>
      <c r="BC40" s="914">
        <f t="shared" si="61"/>
        <v>0</v>
      </c>
      <c r="BD40" s="910"/>
      <c r="BE40" s="914"/>
      <c r="BF40" s="912"/>
      <c r="BG40" s="913"/>
      <c r="BH40" s="914">
        <f t="shared" si="62"/>
        <v>0</v>
      </c>
      <c r="BI40" s="910"/>
      <c r="BJ40" s="914"/>
      <c r="BK40" s="912"/>
      <c r="BL40" s="913"/>
      <c r="BM40" s="914">
        <f t="shared" si="63"/>
        <v>0</v>
      </c>
      <c r="BN40" s="910"/>
      <c r="BO40" s="914"/>
      <c r="BP40" s="912"/>
      <c r="BQ40" s="913"/>
      <c r="BR40" s="914">
        <f t="shared" si="64"/>
        <v>0</v>
      </c>
      <c r="BS40" s="910"/>
      <c r="BT40" s="914"/>
      <c r="BU40" s="912"/>
      <c r="BV40" s="913"/>
      <c r="BW40" s="914">
        <f t="shared" si="65"/>
        <v>0</v>
      </c>
      <c r="BX40" s="910"/>
      <c r="BY40" s="914"/>
      <c r="BZ40" s="912"/>
      <c r="CA40" s="913"/>
      <c r="CB40" s="914">
        <f t="shared" si="66"/>
        <v>0</v>
      </c>
      <c r="CC40" s="910"/>
      <c r="CD40" s="915">
        <f t="shared" si="50"/>
        <v>0</v>
      </c>
      <c r="CE40" s="916">
        <f t="shared" si="50"/>
        <v>0</v>
      </c>
      <c r="CF40" s="917">
        <f t="shared" si="50"/>
        <v>0</v>
      </c>
      <c r="CG40" s="916">
        <f t="shared" si="50"/>
        <v>0</v>
      </c>
      <c r="CH40" s="930">
        <f t="shared" si="50"/>
        <v>0</v>
      </c>
    </row>
    <row r="41" spans="1:86" ht="15" customHeight="1">
      <c r="A41" s="380" t="s">
        <v>718</v>
      </c>
      <c r="B41" s="380"/>
      <c r="C41" s="921"/>
      <c r="D41" s="922"/>
      <c r="E41" s="909">
        <f t="shared" si="53"/>
        <v>0</v>
      </c>
      <c r="F41" s="909"/>
      <c r="G41" s="909"/>
      <c r="H41" s="921"/>
      <c r="I41" s="922"/>
      <c r="J41" s="909">
        <f t="shared" si="54"/>
        <v>0</v>
      </c>
      <c r="K41" s="910"/>
      <c r="L41" s="909"/>
      <c r="M41" s="921"/>
      <c r="N41" s="922"/>
      <c r="O41" s="909">
        <f t="shared" si="55"/>
        <v>0</v>
      </c>
      <c r="P41" s="910"/>
      <c r="Q41" s="909"/>
      <c r="R41" s="921"/>
      <c r="S41" s="922"/>
      <c r="T41" s="909">
        <f t="shared" si="56"/>
        <v>0</v>
      </c>
      <c r="U41" s="909"/>
      <c r="V41" s="909"/>
      <c r="W41" s="918"/>
      <c r="X41" s="923"/>
      <c r="Y41" s="914">
        <f t="shared" si="57"/>
        <v>0</v>
      </c>
      <c r="Z41" s="910"/>
      <c r="AA41" s="914"/>
      <c r="AB41" s="918"/>
      <c r="AC41" s="923"/>
      <c r="AD41" s="914">
        <f t="shared" si="58"/>
        <v>0</v>
      </c>
      <c r="AE41" s="910"/>
      <c r="AF41" s="914"/>
      <c r="AG41" s="918"/>
      <c r="AH41" s="923"/>
      <c r="AI41" s="914">
        <f t="shared" si="51"/>
        <v>0</v>
      </c>
      <c r="AJ41" s="910"/>
      <c r="AK41" s="914"/>
      <c r="AL41" s="918"/>
      <c r="AM41" s="923"/>
      <c r="AN41" s="914">
        <f t="shared" si="59"/>
        <v>0</v>
      </c>
      <c r="AO41" s="910"/>
      <c r="AP41" s="914"/>
      <c r="AQ41" s="918"/>
      <c r="AR41" s="923"/>
      <c r="AS41" s="914">
        <f t="shared" si="60"/>
        <v>0</v>
      </c>
      <c r="AT41" s="910"/>
      <c r="AU41" s="914"/>
      <c r="AV41" s="918"/>
      <c r="AW41" s="923"/>
      <c r="AX41" s="914">
        <f t="shared" si="52"/>
        <v>0</v>
      </c>
      <c r="AY41" s="910"/>
      <c r="AZ41" s="914"/>
      <c r="BA41" s="918"/>
      <c r="BB41" s="923"/>
      <c r="BC41" s="914">
        <f t="shared" si="61"/>
        <v>0</v>
      </c>
      <c r="BD41" s="910"/>
      <c r="BE41" s="914"/>
      <c r="BF41" s="918"/>
      <c r="BG41" s="923"/>
      <c r="BH41" s="914">
        <f t="shared" si="62"/>
        <v>0</v>
      </c>
      <c r="BI41" s="910"/>
      <c r="BJ41" s="914"/>
      <c r="BK41" s="918"/>
      <c r="BL41" s="923"/>
      <c r="BM41" s="914">
        <f t="shared" si="63"/>
        <v>0</v>
      </c>
      <c r="BN41" s="910"/>
      <c r="BO41" s="914"/>
      <c r="BP41" s="918"/>
      <c r="BQ41" s="923"/>
      <c r="BR41" s="914">
        <f t="shared" si="64"/>
        <v>0</v>
      </c>
      <c r="BS41" s="910"/>
      <c r="BT41" s="914"/>
      <c r="BU41" s="918"/>
      <c r="BV41" s="923"/>
      <c r="BW41" s="914">
        <f t="shared" si="65"/>
        <v>0</v>
      </c>
      <c r="BX41" s="910"/>
      <c r="BY41" s="914"/>
      <c r="BZ41" s="918"/>
      <c r="CA41" s="923"/>
      <c r="CB41" s="914">
        <f t="shared" si="66"/>
        <v>0</v>
      </c>
      <c r="CC41" s="910"/>
      <c r="CD41" s="915">
        <f t="shared" si="50"/>
        <v>0</v>
      </c>
      <c r="CE41" s="916">
        <f t="shared" si="50"/>
        <v>0</v>
      </c>
      <c r="CF41" s="917">
        <f t="shared" si="50"/>
        <v>0</v>
      </c>
      <c r="CG41" s="916">
        <f t="shared" si="50"/>
        <v>0</v>
      </c>
      <c r="CH41" s="930">
        <f t="shared" si="50"/>
        <v>0</v>
      </c>
    </row>
    <row r="42" spans="1:86" ht="15" customHeight="1">
      <c r="A42" s="380" t="s">
        <v>719</v>
      </c>
      <c r="B42" s="380"/>
      <c r="C42" s="921"/>
      <c r="D42" s="922"/>
      <c r="E42" s="909">
        <f t="shared" si="53"/>
        <v>0</v>
      </c>
      <c r="F42" s="909"/>
      <c r="G42" s="909"/>
      <c r="H42" s="921"/>
      <c r="I42" s="922"/>
      <c r="J42" s="909">
        <f t="shared" si="54"/>
        <v>0</v>
      </c>
      <c r="K42" s="910"/>
      <c r="L42" s="909"/>
      <c r="M42" s="921"/>
      <c r="N42" s="922"/>
      <c r="O42" s="909">
        <f t="shared" si="55"/>
        <v>0</v>
      </c>
      <c r="P42" s="910"/>
      <c r="Q42" s="909"/>
      <c r="R42" s="921"/>
      <c r="S42" s="922"/>
      <c r="T42" s="909">
        <f t="shared" si="56"/>
        <v>0</v>
      </c>
      <c r="U42" s="909"/>
      <c r="V42" s="909"/>
      <c r="W42" s="918"/>
      <c r="X42" s="923"/>
      <c r="Y42" s="914">
        <f t="shared" si="57"/>
        <v>0</v>
      </c>
      <c r="Z42" s="910"/>
      <c r="AA42" s="914"/>
      <c r="AB42" s="918"/>
      <c r="AC42" s="923"/>
      <c r="AD42" s="914">
        <f t="shared" si="58"/>
        <v>0</v>
      </c>
      <c r="AE42" s="910"/>
      <c r="AF42" s="914"/>
      <c r="AG42" s="918"/>
      <c r="AH42" s="923"/>
      <c r="AI42" s="914">
        <f t="shared" si="51"/>
        <v>0</v>
      </c>
      <c r="AJ42" s="910"/>
      <c r="AK42" s="914"/>
      <c r="AL42" s="918"/>
      <c r="AM42" s="923"/>
      <c r="AN42" s="914">
        <f t="shared" si="59"/>
        <v>0</v>
      </c>
      <c r="AO42" s="910"/>
      <c r="AP42" s="914"/>
      <c r="AQ42" s="918"/>
      <c r="AR42" s="923"/>
      <c r="AS42" s="914">
        <f t="shared" si="60"/>
        <v>0</v>
      </c>
      <c r="AT42" s="910"/>
      <c r="AU42" s="914"/>
      <c r="AV42" s="918"/>
      <c r="AW42" s="923"/>
      <c r="AX42" s="914">
        <f t="shared" si="52"/>
        <v>0</v>
      </c>
      <c r="AY42" s="910"/>
      <c r="AZ42" s="914"/>
      <c r="BA42" s="918"/>
      <c r="BB42" s="923"/>
      <c r="BC42" s="914">
        <f t="shared" si="61"/>
        <v>0</v>
      </c>
      <c r="BD42" s="910"/>
      <c r="BE42" s="914"/>
      <c r="BF42" s="918"/>
      <c r="BG42" s="923"/>
      <c r="BH42" s="914">
        <f t="shared" si="62"/>
        <v>0</v>
      </c>
      <c r="BI42" s="910"/>
      <c r="BJ42" s="914"/>
      <c r="BK42" s="918"/>
      <c r="BL42" s="923"/>
      <c r="BM42" s="914">
        <f t="shared" si="63"/>
        <v>0</v>
      </c>
      <c r="BN42" s="910"/>
      <c r="BO42" s="914"/>
      <c r="BP42" s="918"/>
      <c r="BQ42" s="923"/>
      <c r="BR42" s="914">
        <f t="shared" si="64"/>
        <v>0</v>
      </c>
      <c r="BS42" s="910"/>
      <c r="BT42" s="914"/>
      <c r="BU42" s="918"/>
      <c r="BV42" s="923"/>
      <c r="BW42" s="914">
        <f t="shared" si="65"/>
        <v>0</v>
      </c>
      <c r="BX42" s="910"/>
      <c r="BY42" s="914"/>
      <c r="BZ42" s="918"/>
      <c r="CA42" s="923"/>
      <c r="CB42" s="914">
        <f t="shared" si="66"/>
        <v>0</v>
      </c>
      <c r="CC42" s="910"/>
      <c r="CD42" s="915">
        <f t="shared" si="50"/>
        <v>0</v>
      </c>
      <c r="CE42" s="916">
        <f t="shared" si="50"/>
        <v>0</v>
      </c>
      <c r="CF42" s="917">
        <f t="shared" si="50"/>
        <v>0</v>
      </c>
      <c r="CG42" s="916">
        <f t="shared" si="50"/>
        <v>0</v>
      </c>
      <c r="CH42" s="930">
        <f t="shared" si="50"/>
        <v>0</v>
      </c>
    </row>
    <row r="43" spans="1:86" ht="27.75" hidden="1" customHeight="1">
      <c r="A43" s="919" t="s">
        <v>720</v>
      </c>
      <c r="B43" s="919"/>
      <c r="C43" s="921">
        <v>0</v>
      </c>
      <c r="D43" s="922"/>
      <c r="E43" s="909">
        <f t="shared" si="53"/>
        <v>0</v>
      </c>
      <c r="F43" s="909"/>
      <c r="G43" s="909"/>
      <c r="H43" s="921">
        <v>0</v>
      </c>
      <c r="I43" s="922"/>
      <c r="J43" s="909">
        <f t="shared" si="54"/>
        <v>0</v>
      </c>
      <c r="K43" s="910"/>
      <c r="L43" s="909"/>
      <c r="M43" s="921">
        <v>0</v>
      </c>
      <c r="N43" s="922"/>
      <c r="O43" s="909">
        <f t="shared" si="55"/>
        <v>0</v>
      </c>
      <c r="P43" s="910"/>
      <c r="Q43" s="909"/>
      <c r="R43" s="921">
        <v>0</v>
      </c>
      <c r="S43" s="922"/>
      <c r="T43" s="909">
        <f t="shared" si="56"/>
        <v>0</v>
      </c>
      <c r="U43" s="909"/>
      <c r="V43" s="909"/>
      <c r="W43" s="914">
        <v>0</v>
      </c>
      <c r="X43" s="923"/>
      <c r="Y43" s="914">
        <f t="shared" si="57"/>
        <v>0</v>
      </c>
      <c r="Z43" s="910"/>
      <c r="AA43" s="914"/>
      <c r="AB43" s="914">
        <v>0</v>
      </c>
      <c r="AC43" s="923"/>
      <c r="AD43" s="914">
        <f t="shared" si="58"/>
        <v>0</v>
      </c>
      <c r="AE43" s="910"/>
      <c r="AF43" s="914"/>
      <c r="AG43" s="914">
        <v>0</v>
      </c>
      <c r="AH43" s="923"/>
      <c r="AI43" s="914">
        <f t="shared" si="51"/>
        <v>0</v>
      </c>
      <c r="AJ43" s="910"/>
      <c r="AK43" s="914"/>
      <c r="AL43" s="914">
        <v>0</v>
      </c>
      <c r="AM43" s="923"/>
      <c r="AN43" s="914">
        <f t="shared" si="59"/>
        <v>0</v>
      </c>
      <c r="AO43" s="910"/>
      <c r="AP43" s="914"/>
      <c r="AQ43" s="914">
        <v>0</v>
      </c>
      <c r="AR43" s="923"/>
      <c r="AS43" s="914">
        <f t="shared" si="60"/>
        <v>0</v>
      </c>
      <c r="AT43" s="910"/>
      <c r="AU43" s="914"/>
      <c r="AV43" s="914">
        <v>0</v>
      </c>
      <c r="AW43" s="923"/>
      <c r="AX43" s="914">
        <f t="shared" si="52"/>
        <v>0</v>
      </c>
      <c r="AY43" s="910"/>
      <c r="AZ43" s="914"/>
      <c r="BA43" s="914">
        <v>0</v>
      </c>
      <c r="BB43" s="923"/>
      <c r="BC43" s="914">
        <f t="shared" si="61"/>
        <v>0</v>
      </c>
      <c r="BD43" s="910"/>
      <c r="BE43" s="914"/>
      <c r="BF43" s="914">
        <v>0</v>
      </c>
      <c r="BG43" s="923"/>
      <c r="BH43" s="914">
        <f t="shared" si="62"/>
        <v>0</v>
      </c>
      <c r="BI43" s="910"/>
      <c r="BJ43" s="914"/>
      <c r="BK43" s="914">
        <v>0</v>
      </c>
      <c r="BL43" s="923"/>
      <c r="BM43" s="914">
        <f t="shared" si="63"/>
        <v>0</v>
      </c>
      <c r="BN43" s="910"/>
      <c r="BO43" s="914"/>
      <c r="BP43" s="914">
        <v>0</v>
      </c>
      <c r="BQ43" s="923"/>
      <c r="BR43" s="914">
        <f t="shared" si="64"/>
        <v>0</v>
      </c>
      <c r="BS43" s="910"/>
      <c r="BT43" s="914"/>
      <c r="BU43" s="914">
        <v>0</v>
      </c>
      <c r="BV43" s="923"/>
      <c r="BW43" s="914">
        <f t="shared" si="65"/>
        <v>0</v>
      </c>
      <c r="BX43" s="910"/>
      <c r="BY43" s="914"/>
      <c r="BZ43" s="914">
        <v>0</v>
      </c>
      <c r="CA43" s="923"/>
      <c r="CB43" s="914">
        <f t="shared" si="66"/>
        <v>0</v>
      </c>
      <c r="CC43" s="910"/>
      <c r="CD43" s="915">
        <f t="shared" ref="CD43:CF44" si="67">SUM(B43+G43+L43+Q43+V43+AA43+AF43+AK43+AP43+AU43+AZ43+BE43+BJ43+BO43+BT43+BY43)</f>
        <v>0</v>
      </c>
      <c r="CE43" s="916">
        <f t="shared" si="67"/>
        <v>0</v>
      </c>
      <c r="CF43" s="917">
        <f t="shared" si="67"/>
        <v>0</v>
      </c>
      <c r="CG43" s="916">
        <f>SUM(CE43+CF43)</f>
        <v>0</v>
      </c>
      <c r="CH43" s="915"/>
    </row>
    <row r="44" spans="1:86" s="832" customFormat="1" ht="27.75" hidden="1" customHeight="1">
      <c r="A44" s="919" t="s">
        <v>721</v>
      </c>
      <c r="B44" s="919"/>
      <c r="C44" s="921"/>
      <c r="D44" s="922"/>
      <c r="E44" s="909">
        <f t="shared" si="53"/>
        <v>0</v>
      </c>
      <c r="F44" s="928"/>
      <c r="G44" s="928"/>
      <c r="H44" s="921"/>
      <c r="I44" s="922"/>
      <c r="J44" s="909">
        <f t="shared" si="54"/>
        <v>0</v>
      </c>
      <c r="K44" s="910"/>
      <c r="L44" s="928"/>
      <c r="M44" s="921"/>
      <c r="N44" s="922"/>
      <c r="O44" s="909">
        <f t="shared" si="55"/>
        <v>0</v>
      </c>
      <c r="P44" s="910"/>
      <c r="Q44" s="928"/>
      <c r="R44" s="921"/>
      <c r="S44" s="922"/>
      <c r="T44" s="909">
        <f t="shared" si="56"/>
        <v>0</v>
      </c>
      <c r="U44" s="928"/>
      <c r="V44" s="928"/>
      <c r="W44" s="915"/>
      <c r="X44" s="931"/>
      <c r="Y44" s="915">
        <f t="shared" si="57"/>
        <v>0</v>
      </c>
      <c r="Z44" s="932"/>
      <c r="AA44" s="933"/>
      <c r="AB44" s="915"/>
      <c r="AC44" s="931"/>
      <c r="AD44" s="915">
        <f t="shared" si="58"/>
        <v>0</v>
      </c>
      <c r="AE44" s="932"/>
      <c r="AF44" s="933"/>
      <c r="AG44" s="915"/>
      <c r="AH44" s="931"/>
      <c r="AI44" s="915">
        <f t="shared" si="51"/>
        <v>0</v>
      </c>
      <c r="AJ44" s="932"/>
      <c r="AK44" s="933"/>
      <c r="AL44" s="915"/>
      <c r="AM44" s="931"/>
      <c r="AN44" s="915">
        <f t="shared" si="59"/>
        <v>0</v>
      </c>
      <c r="AO44" s="932"/>
      <c r="AP44" s="933"/>
      <c r="AQ44" s="915"/>
      <c r="AR44" s="931"/>
      <c r="AS44" s="915">
        <f t="shared" si="60"/>
        <v>0</v>
      </c>
      <c r="AT44" s="932"/>
      <c r="AU44" s="933"/>
      <c r="AV44" s="915"/>
      <c r="AW44" s="931"/>
      <c r="AX44" s="915">
        <f t="shared" si="52"/>
        <v>0</v>
      </c>
      <c r="AY44" s="932"/>
      <c r="AZ44" s="933"/>
      <c r="BA44" s="915"/>
      <c r="BB44" s="931"/>
      <c r="BC44" s="915">
        <f t="shared" si="61"/>
        <v>0</v>
      </c>
      <c r="BD44" s="932"/>
      <c r="BE44" s="933"/>
      <c r="BF44" s="915"/>
      <c r="BG44" s="931"/>
      <c r="BH44" s="915">
        <f t="shared" si="62"/>
        <v>0</v>
      </c>
      <c r="BI44" s="932"/>
      <c r="BJ44" s="933"/>
      <c r="BK44" s="915"/>
      <c r="BL44" s="931"/>
      <c r="BM44" s="915">
        <f t="shared" si="63"/>
        <v>0</v>
      </c>
      <c r="BN44" s="932"/>
      <c r="BO44" s="933"/>
      <c r="BP44" s="915"/>
      <c r="BQ44" s="931"/>
      <c r="BR44" s="915">
        <f t="shared" si="64"/>
        <v>0</v>
      </c>
      <c r="BS44" s="932"/>
      <c r="BT44" s="933"/>
      <c r="BU44" s="915"/>
      <c r="BV44" s="931"/>
      <c r="BW44" s="915">
        <f t="shared" si="65"/>
        <v>0</v>
      </c>
      <c r="BX44" s="932"/>
      <c r="BY44" s="915"/>
      <c r="BZ44" s="915"/>
      <c r="CA44" s="931"/>
      <c r="CB44" s="914">
        <f t="shared" si="66"/>
        <v>0</v>
      </c>
      <c r="CC44" s="910"/>
      <c r="CD44" s="915">
        <f t="shared" si="67"/>
        <v>0</v>
      </c>
      <c r="CE44" s="916">
        <f t="shared" si="67"/>
        <v>0</v>
      </c>
      <c r="CF44" s="917">
        <f t="shared" si="67"/>
        <v>0</v>
      </c>
      <c r="CG44" s="916">
        <f>SUM(CE44+CF44)</f>
        <v>0</v>
      </c>
      <c r="CH44" s="915"/>
    </row>
    <row r="45" spans="1:86" s="927" customFormat="1" ht="15" customHeight="1">
      <c r="A45" s="934" t="s">
        <v>722</v>
      </c>
      <c r="B45" s="934">
        <f t="shared" ref="B45:AG45" si="68">SUM(B36:B44)</f>
        <v>63977000</v>
      </c>
      <c r="C45" s="934">
        <f t="shared" si="68"/>
        <v>132693000</v>
      </c>
      <c r="D45" s="934">
        <f t="shared" si="68"/>
        <v>0</v>
      </c>
      <c r="E45" s="935">
        <f t="shared" si="68"/>
        <v>81477631</v>
      </c>
      <c r="F45" s="934">
        <f t="shared" si="68"/>
        <v>75655948</v>
      </c>
      <c r="G45" s="934">
        <f t="shared" si="68"/>
        <v>105588000</v>
      </c>
      <c r="H45" s="934">
        <f t="shared" si="68"/>
        <v>118323326</v>
      </c>
      <c r="I45" s="934">
        <f t="shared" si="68"/>
        <v>0</v>
      </c>
      <c r="J45" s="935">
        <f t="shared" si="68"/>
        <v>127940255</v>
      </c>
      <c r="K45" s="936">
        <f t="shared" si="68"/>
        <v>115081926</v>
      </c>
      <c r="L45" s="934">
        <f t="shared" si="68"/>
        <v>48455000</v>
      </c>
      <c r="M45" s="934">
        <f t="shared" si="68"/>
        <v>65938611</v>
      </c>
      <c r="N45" s="934">
        <f t="shared" si="68"/>
        <v>802506</v>
      </c>
      <c r="O45" s="935">
        <f t="shared" si="68"/>
        <v>56841638</v>
      </c>
      <c r="P45" s="936">
        <f t="shared" si="68"/>
        <v>54176778</v>
      </c>
      <c r="Q45" s="934">
        <f t="shared" si="68"/>
        <v>78730000</v>
      </c>
      <c r="R45" s="934">
        <f t="shared" si="68"/>
        <v>109252000</v>
      </c>
      <c r="S45" s="934">
        <f t="shared" si="68"/>
        <v>5994794</v>
      </c>
      <c r="T45" s="935">
        <f t="shared" si="68"/>
        <v>123263794</v>
      </c>
      <c r="U45" s="934">
        <f t="shared" si="68"/>
        <v>101518550</v>
      </c>
      <c r="V45" s="934">
        <f t="shared" si="68"/>
        <v>14298000</v>
      </c>
      <c r="W45" s="934">
        <f t="shared" si="68"/>
        <v>18743000</v>
      </c>
      <c r="X45" s="934">
        <f t="shared" si="68"/>
        <v>0</v>
      </c>
      <c r="Y45" s="935">
        <f t="shared" si="68"/>
        <v>22091391</v>
      </c>
      <c r="Z45" s="936">
        <f t="shared" si="68"/>
        <v>17022082</v>
      </c>
      <c r="AA45" s="934">
        <f t="shared" si="68"/>
        <v>4277000</v>
      </c>
      <c r="AB45" s="934">
        <f t="shared" si="68"/>
        <v>32141586</v>
      </c>
      <c r="AC45" s="934">
        <f t="shared" si="68"/>
        <v>2222500</v>
      </c>
      <c r="AD45" s="935">
        <f t="shared" si="68"/>
        <v>37705587</v>
      </c>
      <c r="AE45" s="936">
        <f t="shared" si="68"/>
        <v>30876230</v>
      </c>
      <c r="AF45" s="934">
        <f t="shared" si="68"/>
        <v>11443000</v>
      </c>
      <c r="AG45" s="934">
        <f t="shared" si="68"/>
        <v>31991600</v>
      </c>
      <c r="AH45" s="934">
        <f t="shared" ref="AH45:BM45" si="69">SUM(AH36:AH44)</f>
        <v>0</v>
      </c>
      <c r="AI45" s="935">
        <f t="shared" si="69"/>
        <v>33289552</v>
      </c>
      <c r="AJ45" s="936">
        <f t="shared" si="69"/>
        <v>31929695</v>
      </c>
      <c r="AK45" s="934">
        <f t="shared" si="69"/>
        <v>29585000</v>
      </c>
      <c r="AL45" s="934">
        <f t="shared" si="69"/>
        <v>32125000</v>
      </c>
      <c r="AM45" s="934">
        <f t="shared" si="69"/>
        <v>0</v>
      </c>
      <c r="AN45" s="935">
        <f t="shared" si="69"/>
        <v>36280257</v>
      </c>
      <c r="AO45" s="936">
        <f t="shared" si="69"/>
        <v>31832164</v>
      </c>
      <c r="AP45" s="934">
        <f t="shared" si="69"/>
        <v>3526000</v>
      </c>
      <c r="AQ45" s="934">
        <f t="shared" si="69"/>
        <v>4605500</v>
      </c>
      <c r="AR45" s="934">
        <f t="shared" si="69"/>
        <v>0</v>
      </c>
      <c r="AS45" s="935">
        <f t="shared" si="69"/>
        <v>4398380</v>
      </c>
      <c r="AT45" s="936">
        <f t="shared" si="69"/>
        <v>4141291</v>
      </c>
      <c r="AU45" s="934">
        <f t="shared" si="69"/>
        <v>685000</v>
      </c>
      <c r="AV45" s="934">
        <f t="shared" si="69"/>
        <v>1391999</v>
      </c>
      <c r="AW45" s="934">
        <f t="shared" si="69"/>
        <v>0</v>
      </c>
      <c r="AX45" s="935">
        <f t="shared" si="69"/>
        <v>1471294</v>
      </c>
      <c r="AY45" s="936">
        <f t="shared" si="69"/>
        <v>1159927</v>
      </c>
      <c r="AZ45" s="934">
        <f t="shared" si="69"/>
        <v>2050000</v>
      </c>
      <c r="BA45" s="934">
        <f t="shared" si="69"/>
        <v>6602091</v>
      </c>
      <c r="BB45" s="934">
        <f t="shared" si="69"/>
        <v>0</v>
      </c>
      <c r="BC45" s="935">
        <f t="shared" si="69"/>
        <v>13391867</v>
      </c>
      <c r="BD45" s="936">
        <f t="shared" si="69"/>
        <v>8666867</v>
      </c>
      <c r="BE45" s="934">
        <f t="shared" si="69"/>
        <v>19324000</v>
      </c>
      <c r="BF45" s="934">
        <f t="shared" si="69"/>
        <v>20657500</v>
      </c>
      <c r="BG45" s="934">
        <f t="shared" si="69"/>
        <v>0</v>
      </c>
      <c r="BH45" s="935">
        <f t="shared" si="69"/>
        <v>20995783</v>
      </c>
      <c r="BI45" s="936">
        <f t="shared" si="69"/>
        <v>20906094</v>
      </c>
      <c r="BJ45" s="934">
        <f t="shared" si="69"/>
        <v>56257000</v>
      </c>
      <c r="BK45" s="934">
        <f t="shared" si="69"/>
        <v>56574500</v>
      </c>
      <c r="BL45" s="934">
        <f t="shared" si="69"/>
        <v>0</v>
      </c>
      <c r="BM45" s="935">
        <f t="shared" si="69"/>
        <v>45672804</v>
      </c>
      <c r="BN45" s="936">
        <f t="shared" ref="BN45:CH45" si="70">SUM(BN36:BN44)</f>
        <v>34428079</v>
      </c>
      <c r="BO45" s="934">
        <f t="shared" si="70"/>
        <v>66354000</v>
      </c>
      <c r="BP45" s="934">
        <f t="shared" si="70"/>
        <v>70164000</v>
      </c>
      <c r="BQ45" s="934">
        <f t="shared" si="70"/>
        <v>0</v>
      </c>
      <c r="BR45" s="935">
        <f t="shared" si="70"/>
        <v>74663856</v>
      </c>
      <c r="BS45" s="936">
        <f t="shared" si="70"/>
        <v>73328741</v>
      </c>
      <c r="BT45" s="934">
        <f t="shared" si="70"/>
        <v>963000</v>
      </c>
      <c r="BU45" s="934">
        <f t="shared" si="70"/>
        <v>1153500</v>
      </c>
      <c r="BV45" s="934">
        <f t="shared" si="70"/>
        <v>1905000</v>
      </c>
      <c r="BW45" s="935">
        <f t="shared" si="70"/>
        <v>4408621</v>
      </c>
      <c r="BX45" s="936">
        <f t="shared" si="70"/>
        <v>3031569</v>
      </c>
      <c r="BY45" s="934">
        <f t="shared" si="70"/>
        <v>307518000</v>
      </c>
      <c r="BZ45" s="934">
        <f t="shared" si="70"/>
        <v>352228050</v>
      </c>
      <c r="CA45" s="934">
        <f t="shared" si="70"/>
        <v>-215652148</v>
      </c>
      <c r="CB45" s="935">
        <f t="shared" si="70"/>
        <v>154875848</v>
      </c>
      <c r="CC45" s="936">
        <f t="shared" si="70"/>
        <v>124958086</v>
      </c>
      <c r="CD45" s="934">
        <f t="shared" si="70"/>
        <v>813030000</v>
      </c>
      <c r="CE45" s="934">
        <f t="shared" si="70"/>
        <v>1054585263</v>
      </c>
      <c r="CF45" s="934">
        <f t="shared" si="70"/>
        <v>-204727348</v>
      </c>
      <c r="CG45" s="934">
        <f t="shared" si="70"/>
        <v>838768558</v>
      </c>
      <c r="CH45" s="934">
        <f t="shared" si="70"/>
        <v>728714027</v>
      </c>
    </row>
    <row r="46" spans="1:86" s="927" customFormat="1" ht="14.25" customHeight="1">
      <c r="A46" s="924" t="s">
        <v>723</v>
      </c>
      <c r="B46" s="924">
        <f t="shared" ref="B46:AG46" si="71">B45+B35</f>
        <v>1398806703</v>
      </c>
      <c r="C46" s="924">
        <f t="shared" si="71"/>
        <v>1560235901</v>
      </c>
      <c r="D46" s="924">
        <f t="shared" si="71"/>
        <v>2927687</v>
      </c>
      <c r="E46" s="925">
        <f t="shared" si="71"/>
        <v>1575810324</v>
      </c>
      <c r="F46" s="924">
        <f t="shared" si="71"/>
        <v>1498432086</v>
      </c>
      <c r="G46" s="924">
        <f t="shared" si="71"/>
        <v>581575011</v>
      </c>
      <c r="H46" s="924">
        <f t="shared" si="71"/>
        <v>611092230</v>
      </c>
      <c r="I46" s="924">
        <f t="shared" si="71"/>
        <v>9725706</v>
      </c>
      <c r="J46" s="925">
        <f t="shared" si="71"/>
        <v>663364302</v>
      </c>
      <c r="K46" s="926">
        <f t="shared" si="71"/>
        <v>623449678</v>
      </c>
      <c r="L46" s="924">
        <f t="shared" si="71"/>
        <v>738374401</v>
      </c>
      <c r="M46" s="924">
        <f t="shared" si="71"/>
        <v>785853399</v>
      </c>
      <c r="N46" s="924">
        <f t="shared" si="71"/>
        <v>8995033</v>
      </c>
      <c r="O46" s="925">
        <f t="shared" si="71"/>
        <v>792207298</v>
      </c>
      <c r="P46" s="926">
        <f t="shared" si="71"/>
        <v>724032030</v>
      </c>
      <c r="Q46" s="924">
        <f t="shared" si="71"/>
        <v>857068517</v>
      </c>
      <c r="R46" s="924">
        <f t="shared" si="71"/>
        <v>918264856</v>
      </c>
      <c r="S46" s="924">
        <f t="shared" si="71"/>
        <v>5618859</v>
      </c>
      <c r="T46" s="925">
        <f t="shared" si="71"/>
        <v>931153757</v>
      </c>
      <c r="U46" s="924">
        <f t="shared" si="71"/>
        <v>807962752</v>
      </c>
      <c r="V46" s="924">
        <f t="shared" si="71"/>
        <v>147022989</v>
      </c>
      <c r="W46" s="924">
        <f t="shared" si="71"/>
        <v>151725082</v>
      </c>
      <c r="X46" s="924">
        <f t="shared" si="71"/>
        <v>2006691</v>
      </c>
      <c r="Y46" s="925">
        <f t="shared" si="71"/>
        <v>159264424</v>
      </c>
      <c r="Z46" s="926">
        <f t="shared" si="71"/>
        <v>150306757</v>
      </c>
      <c r="AA46" s="924">
        <f t="shared" si="71"/>
        <v>225021214</v>
      </c>
      <c r="AB46" s="924">
        <f t="shared" si="71"/>
        <v>260163170</v>
      </c>
      <c r="AC46" s="924">
        <f t="shared" si="71"/>
        <v>-768688</v>
      </c>
      <c r="AD46" s="925">
        <f t="shared" si="71"/>
        <v>266351344</v>
      </c>
      <c r="AE46" s="926">
        <f t="shared" si="71"/>
        <v>249951886</v>
      </c>
      <c r="AF46" s="924">
        <f t="shared" si="71"/>
        <v>175645111</v>
      </c>
      <c r="AG46" s="924">
        <f t="shared" si="71"/>
        <v>198048216</v>
      </c>
      <c r="AH46" s="924">
        <f t="shared" ref="AH46:BM46" si="72">AH45+AH35</f>
        <v>1476770</v>
      </c>
      <c r="AI46" s="925">
        <f t="shared" si="72"/>
        <v>203040297</v>
      </c>
      <c r="AJ46" s="926">
        <f t="shared" si="72"/>
        <v>194919180</v>
      </c>
      <c r="AK46" s="924">
        <f t="shared" si="72"/>
        <v>257495032</v>
      </c>
      <c r="AL46" s="924">
        <f t="shared" si="72"/>
        <v>260928117</v>
      </c>
      <c r="AM46" s="924">
        <f t="shared" si="72"/>
        <v>3800920</v>
      </c>
      <c r="AN46" s="925">
        <f t="shared" si="72"/>
        <v>273567083</v>
      </c>
      <c r="AO46" s="926">
        <f t="shared" si="72"/>
        <v>262168167</v>
      </c>
      <c r="AP46" s="924">
        <f t="shared" si="72"/>
        <v>152701663</v>
      </c>
      <c r="AQ46" s="924">
        <f t="shared" si="72"/>
        <v>155022461</v>
      </c>
      <c r="AR46" s="924">
        <f t="shared" si="72"/>
        <v>67885</v>
      </c>
      <c r="AS46" s="925">
        <f t="shared" si="72"/>
        <v>157700743</v>
      </c>
      <c r="AT46" s="926">
        <f t="shared" si="72"/>
        <v>150432924</v>
      </c>
      <c r="AU46" s="924">
        <f t="shared" si="72"/>
        <v>148685702</v>
      </c>
      <c r="AV46" s="924">
        <f t="shared" si="72"/>
        <v>152884332</v>
      </c>
      <c r="AW46" s="924">
        <f t="shared" si="72"/>
        <v>1697936</v>
      </c>
      <c r="AX46" s="925">
        <f t="shared" si="72"/>
        <v>158235150</v>
      </c>
      <c r="AY46" s="926">
        <f t="shared" si="72"/>
        <v>151645356</v>
      </c>
      <c r="AZ46" s="924">
        <f t="shared" si="72"/>
        <v>180829472</v>
      </c>
      <c r="BA46" s="924">
        <f t="shared" si="72"/>
        <v>190266700</v>
      </c>
      <c r="BB46" s="924">
        <f t="shared" si="72"/>
        <v>2708931</v>
      </c>
      <c r="BC46" s="925">
        <f t="shared" si="72"/>
        <v>204083984</v>
      </c>
      <c r="BD46" s="926">
        <f t="shared" si="72"/>
        <v>192938350</v>
      </c>
      <c r="BE46" s="924">
        <f t="shared" si="72"/>
        <v>174593049</v>
      </c>
      <c r="BF46" s="924">
        <f t="shared" si="72"/>
        <v>178245822</v>
      </c>
      <c r="BG46" s="924">
        <f t="shared" si="72"/>
        <v>825137</v>
      </c>
      <c r="BH46" s="925">
        <f t="shared" si="72"/>
        <v>180653252</v>
      </c>
      <c r="BI46" s="926">
        <f t="shared" si="72"/>
        <v>170683668</v>
      </c>
      <c r="BJ46" s="924">
        <f t="shared" si="72"/>
        <v>208812832</v>
      </c>
      <c r="BK46" s="924">
        <f t="shared" si="72"/>
        <v>211124013</v>
      </c>
      <c r="BL46" s="924">
        <f t="shared" si="72"/>
        <v>1583141</v>
      </c>
      <c r="BM46" s="925">
        <f t="shared" si="72"/>
        <v>205145295</v>
      </c>
      <c r="BN46" s="926">
        <f t="shared" ref="BN46:CH46" si="73">BN45+BN35</f>
        <v>185380060</v>
      </c>
      <c r="BO46" s="924">
        <f t="shared" si="73"/>
        <v>221120086</v>
      </c>
      <c r="BP46" s="924">
        <f t="shared" si="73"/>
        <v>226047834</v>
      </c>
      <c r="BQ46" s="924">
        <f t="shared" si="73"/>
        <v>2225532</v>
      </c>
      <c r="BR46" s="925">
        <f t="shared" si="73"/>
        <v>236055265</v>
      </c>
      <c r="BS46" s="926">
        <f t="shared" si="73"/>
        <v>230059464</v>
      </c>
      <c r="BT46" s="924">
        <f t="shared" si="73"/>
        <v>129220019</v>
      </c>
      <c r="BU46" s="924">
        <f t="shared" si="73"/>
        <v>131218677</v>
      </c>
      <c r="BV46" s="924">
        <f t="shared" si="73"/>
        <v>3843660</v>
      </c>
      <c r="BW46" s="925">
        <f t="shared" si="73"/>
        <v>139078718</v>
      </c>
      <c r="BX46" s="926">
        <f t="shared" si="73"/>
        <v>134075044</v>
      </c>
      <c r="BY46" s="924">
        <f t="shared" si="73"/>
        <v>2369349433</v>
      </c>
      <c r="BZ46" s="924">
        <f t="shared" si="73"/>
        <v>2517527383</v>
      </c>
      <c r="CA46" s="924">
        <f t="shared" si="73"/>
        <v>-257467801</v>
      </c>
      <c r="CB46" s="925">
        <f t="shared" si="73"/>
        <v>2323588648</v>
      </c>
      <c r="CC46" s="926">
        <f t="shared" si="73"/>
        <v>2139400310</v>
      </c>
      <c r="CD46" s="924">
        <f t="shared" si="73"/>
        <v>7966321234</v>
      </c>
      <c r="CE46" s="924">
        <f t="shared" si="73"/>
        <v>8508648193</v>
      </c>
      <c r="CF46" s="924">
        <f t="shared" si="73"/>
        <v>-210732601</v>
      </c>
      <c r="CG46" s="924">
        <f t="shared" si="73"/>
        <v>8469299884</v>
      </c>
      <c r="CH46" s="924">
        <f t="shared" si="73"/>
        <v>7865837712</v>
      </c>
    </row>
    <row r="47" spans="1:86" ht="14.25" hidden="1" customHeight="1">
      <c r="A47" s="380" t="s">
        <v>724</v>
      </c>
      <c r="B47" s="380"/>
      <c r="C47" s="921">
        <v>0</v>
      </c>
      <c r="D47" s="922"/>
      <c r="E47" s="909">
        <f t="shared" ref="E47:E59" si="74">SUM(C47+D47)</f>
        <v>0</v>
      </c>
      <c r="F47" s="909"/>
      <c r="G47" s="909"/>
      <c r="H47" s="921">
        <v>0</v>
      </c>
      <c r="I47" s="922"/>
      <c r="J47" s="909">
        <f t="shared" ref="J47:J59" si="75">SUM(H47+I47)</f>
        <v>0</v>
      </c>
      <c r="K47" s="910"/>
      <c r="L47" s="909"/>
      <c r="M47" s="921">
        <v>0</v>
      </c>
      <c r="N47" s="922"/>
      <c r="O47" s="909">
        <f t="shared" ref="O47:O59" si="76">SUM(M47+N47)</f>
        <v>0</v>
      </c>
      <c r="P47" s="910"/>
      <c r="Q47" s="909"/>
      <c r="R47" s="921">
        <v>0</v>
      </c>
      <c r="S47" s="922"/>
      <c r="T47" s="909">
        <f t="shared" ref="T47:T59" si="77">SUM(R47+S47)</f>
        <v>0</v>
      </c>
      <c r="U47" s="909"/>
      <c r="V47" s="909"/>
      <c r="W47" s="914">
        <v>0</v>
      </c>
      <c r="X47" s="923"/>
      <c r="Y47" s="914">
        <f t="shared" ref="Y47:Y59" si="78">SUM(W47+X47)</f>
        <v>0</v>
      </c>
      <c r="Z47" s="910"/>
      <c r="AA47" s="914"/>
      <c r="AB47" s="914">
        <v>0</v>
      </c>
      <c r="AC47" s="923"/>
      <c r="AD47" s="914">
        <f t="shared" ref="AD47:AD59" si="79">SUM(AB47+AC47)</f>
        <v>0</v>
      </c>
      <c r="AE47" s="910"/>
      <c r="AF47" s="914"/>
      <c r="AG47" s="914">
        <v>0</v>
      </c>
      <c r="AH47" s="923"/>
      <c r="AI47" s="914">
        <f t="shared" ref="AI47:AI59" si="80">SUM(AG47+AH47)</f>
        <v>0</v>
      </c>
      <c r="AJ47" s="910"/>
      <c r="AK47" s="914"/>
      <c r="AL47" s="914">
        <v>0</v>
      </c>
      <c r="AM47" s="923"/>
      <c r="AN47" s="914">
        <f t="shared" ref="AN47:AN59" si="81">SUM(AL47+AM47)</f>
        <v>0</v>
      </c>
      <c r="AO47" s="910"/>
      <c r="AP47" s="914"/>
      <c r="AQ47" s="914">
        <v>0</v>
      </c>
      <c r="AR47" s="923"/>
      <c r="AS47" s="914">
        <f t="shared" ref="AS47:AS59" si="82">SUM(AQ47+AR47)</f>
        <v>0</v>
      </c>
      <c r="AT47" s="910"/>
      <c r="AU47" s="914"/>
      <c r="AV47" s="914">
        <v>0</v>
      </c>
      <c r="AW47" s="923"/>
      <c r="AX47" s="914">
        <f t="shared" ref="AX47:AX59" si="83">SUM(AV47+AW47)</f>
        <v>0</v>
      </c>
      <c r="AY47" s="910"/>
      <c r="AZ47" s="914"/>
      <c r="BA47" s="914">
        <v>0</v>
      </c>
      <c r="BB47" s="923"/>
      <c r="BC47" s="914">
        <f t="shared" ref="BC47:BC59" si="84">SUM(BA47+BB47)</f>
        <v>0</v>
      </c>
      <c r="BD47" s="910"/>
      <c r="BE47" s="914"/>
      <c r="BF47" s="914">
        <v>0</v>
      </c>
      <c r="BG47" s="923"/>
      <c r="BH47" s="914">
        <f t="shared" ref="BH47:BH59" si="85">SUM(BF47+BG47)</f>
        <v>0</v>
      </c>
      <c r="BI47" s="910"/>
      <c r="BJ47" s="914"/>
      <c r="BK47" s="914">
        <v>0</v>
      </c>
      <c r="BL47" s="923"/>
      <c r="BM47" s="914">
        <f t="shared" ref="BM47:BM59" si="86">SUM(BK47+BL47)</f>
        <v>0</v>
      </c>
      <c r="BN47" s="910"/>
      <c r="BO47" s="914"/>
      <c r="BP47" s="914">
        <v>0</v>
      </c>
      <c r="BQ47" s="923"/>
      <c r="BR47" s="914">
        <f t="shared" ref="BR47:BR59" si="87">SUM(BP47+BQ47)</f>
        <v>0</v>
      </c>
      <c r="BS47" s="910"/>
      <c r="BT47" s="914"/>
      <c r="BU47" s="914">
        <v>0</v>
      </c>
      <c r="BV47" s="923"/>
      <c r="BW47" s="914">
        <f t="shared" ref="BW47:BW59" si="88">SUM(BU47+BV47)</f>
        <v>0</v>
      </c>
      <c r="BX47" s="910"/>
      <c r="BY47" s="914"/>
      <c r="BZ47" s="914">
        <v>0</v>
      </c>
      <c r="CA47" s="923"/>
      <c r="CB47" s="914">
        <f t="shared" ref="CB47:CB59" si="89">SUM(BZ47+CA47)</f>
        <v>0</v>
      </c>
      <c r="CC47" s="910">
        <f t="shared" ref="CC47:CC53" si="90">BZ47-BY47</f>
        <v>0</v>
      </c>
      <c r="CD47" s="915">
        <f t="shared" ref="CD47:CD59" si="91">SUM(B47+G47+L47+Q47+V47+AA47+AF47+AK47+AP47+AU47+AZ47+BE47+BJ47+BO47+BT47+BY47)</f>
        <v>0</v>
      </c>
      <c r="CE47" s="937">
        <f t="shared" ref="CE47:CE59" si="92">SUM(C47+H47+M47+R47+W47+AB47+AG47+AL47+AQ47+AV47+BA47+BF47+BK47+BP47+BU47+BZ47)</f>
        <v>0</v>
      </c>
      <c r="CF47" s="917">
        <f t="shared" ref="CF47:CF59" si="93">SUM(D47+I47+N47+S47+X47+AC47+AH47+AM47+AR47+AW47+BB47+BG47+BL47+BQ47+BV47+CA47)</f>
        <v>0</v>
      </c>
      <c r="CG47" s="930">
        <f t="shared" ref="CG47:CG53" si="94">SUM(CE47+CF47)</f>
        <v>0</v>
      </c>
      <c r="CH47" s="915"/>
    </row>
    <row r="48" spans="1:86" ht="14.25" hidden="1" customHeight="1">
      <c r="A48" s="380" t="s">
        <v>725</v>
      </c>
      <c r="B48" s="380"/>
      <c r="C48" s="921">
        <v>0</v>
      </c>
      <c r="D48" s="922"/>
      <c r="E48" s="909">
        <f t="shared" si="74"/>
        <v>0</v>
      </c>
      <c r="F48" s="909"/>
      <c r="G48" s="909"/>
      <c r="H48" s="921">
        <v>0</v>
      </c>
      <c r="I48" s="922"/>
      <c r="J48" s="909">
        <f t="shared" si="75"/>
        <v>0</v>
      </c>
      <c r="K48" s="910"/>
      <c r="L48" s="909"/>
      <c r="M48" s="921">
        <v>0</v>
      </c>
      <c r="N48" s="922"/>
      <c r="O48" s="909">
        <f t="shared" si="76"/>
        <v>0</v>
      </c>
      <c r="P48" s="910"/>
      <c r="Q48" s="909"/>
      <c r="R48" s="921">
        <v>0</v>
      </c>
      <c r="S48" s="922"/>
      <c r="T48" s="909">
        <f t="shared" si="77"/>
        <v>0</v>
      </c>
      <c r="U48" s="909"/>
      <c r="V48" s="909"/>
      <c r="W48" s="914">
        <v>0</v>
      </c>
      <c r="X48" s="923"/>
      <c r="Y48" s="914">
        <f t="shared" si="78"/>
        <v>0</v>
      </c>
      <c r="Z48" s="910"/>
      <c r="AA48" s="914"/>
      <c r="AB48" s="914">
        <v>0</v>
      </c>
      <c r="AC48" s="923"/>
      <c r="AD48" s="914">
        <f t="shared" si="79"/>
        <v>0</v>
      </c>
      <c r="AE48" s="910"/>
      <c r="AF48" s="914"/>
      <c r="AG48" s="914">
        <v>0</v>
      </c>
      <c r="AH48" s="923"/>
      <c r="AI48" s="914">
        <f t="shared" si="80"/>
        <v>0</v>
      </c>
      <c r="AJ48" s="910"/>
      <c r="AK48" s="914"/>
      <c r="AL48" s="914">
        <v>0</v>
      </c>
      <c r="AM48" s="923"/>
      <c r="AN48" s="914">
        <f t="shared" si="81"/>
        <v>0</v>
      </c>
      <c r="AO48" s="910"/>
      <c r="AP48" s="914"/>
      <c r="AQ48" s="914">
        <v>0</v>
      </c>
      <c r="AR48" s="923"/>
      <c r="AS48" s="914">
        <f t="shared" si="82"/>
        <v>0</v>
      </c>
      <c r="AT48" s="910"/>
      <c r="AU48" s="914"/>
      <c r="AV48" s="914">
        <v>0</v>
      </c>
      <c r="AW48" s="923"/>
      <c r="AX48" s="914">
        <f t="shared" si="83"/>
        <v>0</v>
      </c>
      <c r="AY48" s="910"/>
      <c r="AZ48" s="914"/>
      <c r="BA48" s="914">
        <v>0</v>
      </c>
      <c r="BB48" s="923"/>
      <c r="BC48" s="914">
        <f t="shared" si="84"/>
        <v>0</v>
      </c>
      <c r="BD48" s="910"/>
      <c r="BE48" s="914"/>
      <c r="BF48" s="914">
        <v>0</v>
      </c>
      <c r="BG48" s="923"/>
      <c r="BH48" s="914">
        <f t="shared" si="85"/>
        <v>0</v>
      </c>
      <c r="BI48" s="910"/>
      <c r="BJ48" s="914"/>
      <c r="BK48" s="914">
        <v>0</v>
      </c>
      <c r="BL48" s="923"/>
      <c r="BM48" s="914">
        <f t="shared" si="86"/>
        <v>0</v>
      </c>
      <c r="BN48" s="910"/>
      <c r="BO48" s="914"/>
      <c r="BP48" s="914">
        <v>0</v>
      </c>
      <c r="BQ48" s="923"/>
      <c r="BR48" s="914">
        <f t="shared" si="87"/>
        <v>0</v>
      </c>
      <c r="BS48" s="910"/>
      <c r="BT48" s="914"/>
      <c r="BU48" s="914">
        <v>0</v>
      </c>
      <c r="BV48" s="923"/>
      <c r="BW48" s="914">
        <f t="shared" si="88"/>
        <v>0</v>
      </c>
      <c r="BX48" s="910"/>
      <c r="BY48" s="914"/>
      <c r="BZ48" s="914">
        <v>0</v>
      </c>
      <c r="CA48" s="923"/>
      <c r="CB48" s="914">
        <f t="shared" si="89"/>
        <v>0</v>
      </c>
      <c r="CC48" s="910">
        <f t="shared" si="90"/>
        <v>0</v>
      </c>
      <c r="CD48" s="915">
        <f t="shared" si="91"/>
        <v>0</v>
      </c>
      <c r="CE48" s="916">
        <f t="shared" si="92"/>
        <v>0</v>
      </c>
      <c r="CF48" s="917">
        <f t="shared" si="93"/>
        <v>0</v>
      </c>
      <c r="CG48" s="916">
        <f t="shared" si="94"/>
        <v>0</v>
      </c>
      <c r="CH48" s="915"/>
    </row>
    <row r="49" spans="1:86" ht="14.25" hidden="1" customHeight="1">
      <c r="A49" s="380" t="s">
        <v>726</v>
      </c>
      <c r="B49" s="380"/>
      <c r="C49" s="921">
        <v>0</v>
      </c>
      <c r="D49" s="922"/>
      <c r="E49" s="909">
        <f t="shared" si="74"/>
        <v>0</v>
      </c>
      <c r="F49" s="909"/>
      <c r="G49" s="909"/>
      <c r="H49" s="921">
        <v>0</v>
      </c>
      <c r="I49" s="922"/>
      <c r="J49" s="909">
        <f t="shared" si="75"/>
        <v>0</v>
      </c>
      <c r="K49" s="910"/>
      <c r="L49" s="909"/>
      <c r="M49" s="921">
        <v>0</v>
      </c>
      <c r="N49" s="922"/>
      <c r="O49" s="909">
        <f t="shared" si="76"/>
        <v>0</v>
      </c>
      <c r="P49" s="910"/>
      <c r="Q49" s="909"/>
      <c r="R49" s="921">
        <v>0</v>
      </c>
      <c r="S49" s="922"/>
      <c r="T49" s="909">
        <f t="shared" si="77"/>
        <v>0</v>
      </c>
      <c r="U49" s="909"/>
      <c r="V49" s="909"/>
      <c r="W49" s="914">
        <v>0</v>
      </c>
      <c r="X49" s="923"/>
      <c r="Y49" s="914">
        <f t="shared" si="78"/>
        <v>0</v>
      </c>
      <c r="Z49" s="910"/>
      <c r="AA49" s="914"/>
      <c r="AB49" s="914">
        <v>0</v>
      </c>
      <c r="AC49" s="923"/>
      <c r="AD49" s="914">
        <f t="shared" si="79"/>
        <v>0</v>
      </c>
      <c r="AE49" s="910"/>
      <c r="AF49" s="914"/>
      <c r="AG49" s="914">
        <v>0</v>
      </c>
      <c r="AH49" s="923"/>
      <c r="AI49" s="914">
        <f t="shared" si="80"/>
        <v>0</v>
      </c>
      <c r="AJ49" s="910"/>
      <c r="AK49" s="914"/>
      <c r="AL49" s="914">
        <v>0</v>
      </c>
      <c r="AM49" s="923"/>
      <c r="AN49" s="914">
        <f t="shared" si="81"/>
        <v>0</v>
      </c>
      <c r="AO49" s="910"/>
      <c r="AP49" s="914"/>
      <c r="AQ49" s="914">
        <v>0</v>
      </c>
      <c r="AR49" s="923"/>
      <c r="AS49" s="914">
        <f t="shared" si="82"/>
        <v>0</v>
      </c>
      <c r="AT49" s="910"/>
      <c r="AU49" s="914"/>
      <c r="AV49" s="914">
        <v>0</v>
      </c>
      <c r="AW49" s="923"/>
      <c r="AX49" s="914">
        <f t="shared" si="83"/>
        <v>0</v>
      </c>
      <c r="AY49" s="910"/>
      <c r="AZ49" s="914"/>
      <c r="BA49" s="914">
        <v>0</v>
      </c>
      <c r="BB49" s="923"/>
      <c r="BC49" s="914">
        <f t="shared" si="84"/>
        <v>0</v>
      </c>
      <c r="BD49" s="910"/>
      <c r="BE49" s="914"/>
      <c r="BF49" s="914">
        <v>0</v>
      </c>
      <c r="BG49" s="923"/>
      <c r="BH49" s="914">
        <f t="shared" si="85"/>
        <v>0</v>
      </c>
      <c r="BI49" s="910"/>
      <c r="BJ49" s="914"/>
      <c r="BK49" s="914">
        <v>0</v>
      </c>
      <c r="BL49" s="923"/>
      <c r="BM49" s="914">
        <f t="shared" si="86"/>
        <v>0</v>
      </c>
      <c r="BN49" s="910"/>
      <c r="BO49" s="914"/>
      <c r="BP49" s="914">
        <v>0</v>
      </c>
      <c r="BQ49" s="923"/>
      <c r="BR49" s="914">
        <f t="shared" si="87"/>
        <v>0</v>
      </c>
      <c r="BS49" s="910"/>
      <c r="BT49" s="914"/>
      <c r="BU49" s="914">
        <v>0</v>
      </c>
      <c r="BV49" s="923"/>
      <c r="BW49" s="914">
        <f t="shared" si="88"/>
        <v>0</v>
      </c>
      <c r="BX49" s="910"/>
      <c r="BY49" s="914"/>
      <c r="BZ49" s="914">
        <v>0</v>
      </c>
      <c r="CA49" s="923"/>
      <c r="CB49" s="914">
        <f t="shared" si="89"/>
        <v>0</v>
      </c>
      <c r="CC49" s="910">
        <f t="shared" si="90"/>
        <v>0</v>
      </c>
      <c r="CD49" s="915">
        <f t="shared" si="91"/>
        <v>0</v>
      </c>
      <c r="CE49" s="916">
        <f t="shared" si="92"/>
        <v>0</v>
      </c>
      <c r="CF49" s="917">
        <f t="shared" si="93"/>
        <v>0</v>
      </c>
      <c r="CG49" s="930">
        <f t="shared" si="94"/>
        <v>0</v>
      </c>
      <c r="CH49" s="915"/>
    </row>
    <row r="50" spans="1:86" ht="14.25" hidden="1" customHeight="1">
      <c r="A50" s="380" t="s">
        <v>727</v>
      </c>
      <c r="B50" s="380"/>
      <c r="C50" s="921">
        <v>0</v>
      </c>
      <c r="D50" s="922"/>
      <c r="E50" s="909">
        <f t="shared" si="74"/>
        <v>0</v>
      </c>
      <c r="F50" s="909"/>
      <c r="G50" s="909"/>
      <c r="H50" s="921">
        <v>0</v>
      </c>
      <c r="I50" s="922"/>
      <c r="J50" s="909">
        <f t="shared" si="75"/>
        <v>0</v>
      </c>
      <c r="K50" s="910"/>
      <c r="L50" s="909"/>
      <c r="M50" s="921">
        <v>0</v>
      </c>
      <c r="N50" s="922"/>
      <c r="O50" s="909">
        <f t="shared" si="76"/>
        <v>0</v>
      </c>
      <c r="P50" s="910"/>
      <c r="Q50" s="909"/>
      <c r="R50" s="921">
        <v>0</v>
      </c>
      <c r="S50" s="922"/>
      <c r="T50" s="909">
        <f t="shared" si="77"/>
        <v>0</v>
      </c>
      <c r="U50" s="909"/>
      <c r="V50" s="909"/>
      <c r="W50" s="914">
        <v>0</v>
      </c>
      <c r="X50" s="923"/>
      <c r="Y50" s="914">
        <f t="shared" si="78"/>
        <v>0</v>
      </c>
      <c r="Z50" s="910"/>
      <c r="AA50" s="914"/>
      <c r="AB50" s="914">
        <v>0</v>
      </c>
      <c r="AC50" s="923"/>
      <c r="AD50" s="914">
        <f t="shared" si="79"/>
        <v>0</v>
      </c>
      <c r="AE50" s="910"/>
      <c r="AF50" s="914"/>
      <c r="AG50" s="914">
        <v>0</v>
      </c>
      <c r="AH50" s="923"/>
      <c r="AI50" s="914">
        <f t="shared" si="80"/>
        <v>0</v>
      </c>
      <c r="AJ50" s="910"/>
      <c r="AK50" s="914"/>
      <c r="AL50" s="914">
        <v>0</v>
      </c>
      <c r="AM50" s="923"/>
      <c r="AN50" s="914">
        <f t="shared" si="81"/>
        <v>0</v>
      </c>
      <c r="AO50" s="910"/>
      <c r="AP50" s="914"/>
      <c r="AQ50" s="914">
        <v>0</v>
      </c>
      <c r="AR50" s="923"/>
      <c r="AS50" s="914">
        <f t="shared" si="82"/>
        <v>0</v>
      </c>
      <c r="AT50" s="910"/>
      <c r="AU50" s="914"/>
      <c r="AV50" s="914">
        <v>0</v>
      </c>
      <c r="AW50" s="923"/>
      <c r="AX50" s="914">
        <f t="shared" si="83"/>
        <v>0</v>
      </c>
      <c r="AY50" s="910"/>
      <c r="AZ50" s="914"/>
      <c r="BA50" s="914">
        <v>0</v>
      </c>
      <c r="BB50" s="923"/>
      <c r="BC50" s="914">
        <f t="shared" si="84"/>
        <v>0</v>
      </c>
      <c r="BD50" s="910"/>
      <c r="BE50" s="914"/>
      <c r="BF50" s="914">
        <v>0</v>
      </c>
      <c r="BG50" s="923"/>
      <c r="BH50" s="914">
        <f t="shared" si="85"/>
        <v>0</v>
      </c>
      <c r="BI50" s="910"/>
      <c r="BJ50" s="914"/>
      <c r="BK50" s="914">
        <v>0</v>
      </c>
      <c r="BL50" s="923"/>
      <c r="BM50" s="914">
        <f t="shared" si="86"/>
        <v>0</v>
      </c>
      <c r="BN50" s="910"/>
      <c r="BO50" s="914"/>
      <c r="BP50" s="914">
        <v>0</v>
      </c>
      <c r="BQ50" s="923"/>
      <c r="BR50" s="914">
        <f t="shared" si="87"/>
        <v>0</v>
      </c>
      <c r="BS50" s="910"/>
      <c r="BT50" s="914"/>
      <c r="BU50" s="914">
        <v>0</v>
      </c>
      <c r="BV50" s="923"/>
      <c r="BW50" s="914">
        <f t="shared" si="88"/>
        <v>0</v>
      </c>
      <c r="BX50" s="910"/>
      <c r="BY50" s="914"/>
      <c r="BZ50" s="914">
        <v>0</v>
      </c>
      <c r="CA50" s="923"/>
      <c r="CB50" s="914">
        <f t="shared" si="89"/>
        <v>0</v>
      </c>
      <c r="CC50" s="910">
        <f t="shared" si="90"/>
        <v>0</v>
      </c>
      <c r="CD50" s="915">
        <f t="shared" si="91"/>
        <v>0</v>
      </c>
      <c r="CE50" s="916">
        <f t="shared" si="92"/>
        <v>0</v>
      </c>
      <c r="CF50" s="917">
        <f t="shared" si="93"/>
        <v>0</v>
      </c>
      <c r="CG50" s="916">
        <f t="shared" si="94"/>
        <v>0</v>
      </c>
      <c r="CH50" s="915"/>
    </row>
    <row r="51" spans="1:86" ht="14.25" hidden="1" customHeight="1">
      <c r="A51" s="380" t="s">
        <v>728</v>
      </c>
      <c r="B51" s="380"/>
      <c r="C51" s="921">
        <v>0</v>
      </c>
      <c r="D51" s="922"/>
      <c r="E51" s="909">
        <f t="shared" si="74"/>
        <v>0</v>
      </c>
      <c r="F51" s="909"/>
      <c r="G51" s="909"/>
      <c r="H51" s="921">
        <v>0</v>
      </c>
      <c r="I51" s="922"/>
      <c r="J51" s="909">
        <f t="shared" si="75"/>
        <v>0</v>
      </c>
      <c r="K51" s="910"/>
      <c r="L51" s="909"/>
      <c r="M51" s="921">
        <v>0</v>
      </c>
      <c r="N51" s="922"/>
      <c r="O51" s="909">
        <f t="shared" si="76"/>
        <v>0</v>
      </c>
      <c r="P51" s="910"/>
      <c r="Q51" s="909"/>
      <c r="R51" s="921">
        <v>0</v>
      </c>
      <c r="S51" s="922"/>
      <c r="T51" s="909">
        <f t="shared" si="77"/>
        <v>0</v>
      </c>
      <c r="U51" s="909"/>
      <c r="V51" s="909"/>
      <c r="W51" s="914">
        <v>0</v>
      </c>
      <c r="X51" s="923"/>
      <c r="Y51" s="914">
        <f t="shared" si="78"/>
        <v>0</v>
      </c>
      <c r="Z51" s="910"/>
      <c r="AA51" s="914"/>
      <c r="AB51" s="914">
        <v>0</v>
      </c>
      <c r="AC51" s="923"/>
      <c r="AD51" s="914">
        <f t="shared" si="79"/>
        <v>0</v>
      </c>
      <c r="AE51" s="910"/>
      <c r="AF51" s="914"/>
      <c r="AG51" s="914">
        <v>0</v>
      </c>
      <c r="AH51" s="923"/>
      <c r="AI51" s="914">
        <f t="shared" si="80"/>
        <v>0</v>
      </c>
      <c r="AJ51" s="910"/>
      <c r="AK51" s="914"/>
      <c r="AL51" s="914">
        <v>0</v>
      </c>
      <c r="AM51" s="923"/>
      <c r="AN51" s="914">
        <f t="shared" si="81"/>
        <v>0</v>
      </c>
      <c r="AO51" s="910"/>
      <c r="AP51" s="914"/>
      <c r="AQ51" s="914">
        <v>0</v>
      </c>
      <c r="AR51" s="923"/>
      <c r="AS51" s="914">
        <f t="shared" si="82"/>
        <v>0</v>
      </c>
      <c r="AT51" s="910"/>
      <c r="AU51" s="914"/>
      <c r="AV51" s="914">
        <v>0</v>
      </c>
      <c r="AW51" s="923"/>
      <c r="AX51" s="914">
        <f t="shared" si="83"/>
        <v>0</v>
      </c>
      <c r="AY51" s="910"/>
      <c r="AZ51" s="914"/>
      <c r="BA51" s="914">
        <v>0</v>
      </c>
      <c r="BB51" s="923"/>
      <c r="BC51" s="914">
        <f t="shared" si="84"/>
        <v>0</v>
      </c>
      <c r="BD51" s="910"/>
      <c r="BE51" s="914"/>
      <c r="BF51" s="914">
        <v>0</v>
      </c>
      <c r="BG51" s="923"/>
      <c r="BH51" s="914">
        <f t="shared" si="85"/>
        <v>0</v>
      </c>
      <c r="BI51" s="910"/>
      <c r="BJ51" s="914"/>
      <c r="BK51" s="914">
        <v>0</v>
      </c>
      <c r="BL51" s="923"/>
      <c r="BM51" s="914">
        <f t="shared" si="86"/>
        <v>0</v>
      </c>
      <c r="BN51" s="910"/>
      <c r="BO51" s="914"/>
      <c r="BP51" s="914">
        <v>0</v>
      </c>
      <c r="BQ51" s="923"/>
      <c r="BR51" s="914">
        <f t="shared" si="87"/>
        <v>0</v>
      </c>
      <c r="BS51" s="910"/>
      <c r="BT51" s="914"/>
      <c r="BU51" s="914">
        <v>0</v>
      </c>
      <c r="BV51" s="923"/>
      <c r="BW51" s="914">
        <f t="shared" si="88"/>
        <v>0</v>
      </c>
      <c r="BX51" s="910"/>
      <c r="BY51" s="914"/>
      <c r="BZ51" s="914">
        <v>0</v>
      </c>
      <c r="CA51" s="923"/>
      <c r="CB51" s="914">
        <f t="shared" si="89"/>
        <v>0</v>
      </c>
      <c r="CC51" s="910">
        <f t="shared" si="90"/>
        <v>0</v>
      </c>
      <c r="CD51" s="915">
        <f t="shared" si="91"/>
        <v>0</v>
      </c>
      <c r="CE51" s="916">
        <f t="shared" si="92"/>
        <v>0</v>
      </c>
      <c r="CF51" s="917">
        <f t="shared" si="93"/>
        <v>0</v>
      </c>
      <c r="CG51" s="930">
        <f t="shared" si="94"/>
        <v>0</v>
      </c>
      <c r="CH51" s="915"/>
    </row>
    <row r="52" spans="1:86" ht="14.25" hidden="1" customHeight="1">
      <c r="A52" s="380" t="s">
        <v>729</v>
      </c>
      <c r="B52" s="380"/>
      <c r="C52" s="921">
        <v>0</v>
      </c>
      <c r="D52" s="922"/>
      <c r="E52" s="909">
        <f t="shared" si="74"/>
        <v>0</v>
      </c>
      <c r="F52" s="909"/>
      <c r="G52" s="909"/>
      <c r="H52" s="921">
        <v>0</v>
      </c>
      <c r="I52" s="922"/>
      <c r="J52" s="909">
        <f t="shared" si="75"/>
        <v>0</v>
      </c>
      <c r="K52" s="910"/>
      <c r="L52" s="909"/>
      <c r="M52" s="921">
        <v>0</v>
      </c>
      <c r="N52" s="922"/>
      <c r="O52" s="909">
        <f t="shared" si="76"/>
        <v>0</v>
      </c>
      <c r="P52" s="910"/>
      <c r="Q52" s="909"/>
      <c r="R52" s="921">
        <v>0</v>
      </c>
      <c r="S52" s="922"/>
      <c r="T52" s="909">
        <f t="shared" si="77"/>
        <v>0</v>
      </c>
      <c r="U52" s="909"/>
      <c r="V52" s="909"/>
      <c r="W52" s="914">
        <v>0</v>
      </c>
      <c r="X52" s="923"/>
      <c r="Y52" s="914">
        <f t="shared" si="78"/>
        <v>0</v>
      </c>
      <c r="Z52" s="910"/>
      <c r="AA52" s="914"/>
      <c r="AB52" s="914">
        <v>0</v>
      </c>
      <c r="AC52" s="923"/>
      <c r="AD52" s="914">
        <f t="shared" si="79"/>
        <v>0</v>
      </c>
      <c r="AE52" s="910"/>
      <c r="AF52" s="914"/>
      <c r="AG52" s="914">
        <v>0</v>
      </c>
      <c r="AH52" s="923"/>
      <c r="AI52" s="914">
        <f t="shared" si="80"/>
        <v>0</v>
      </c>
      <c r="AJ52" s="910"/>
      <c r="AK52" s="914"/>
      <c r="AL52" s="914">
        <v>0</v>
      </c>
      <c r="AM52" s="923"/>
      <c r="AN52" s="914">
        <f t="shared" si="81"/>
        <v>0</v>
      </c>
      <c r="AO52" s="910"/>
      <c r="AP52" s="914"/>
      <c r="AQ52" s="914">
        <v>0</v>
      </c>
      <c r="AR52" s="923"/>
      <c r="AS52" s="914">
        <f t="shared" si="82"/>
        <v>0</v>
      </c>
      <c r="AT52" s="910"/>
      <c r="AU52" s="914"/>
      <c r="AV52" s="914">
        <v>0</v>
      </c>
      <c r="AW52" s="923"/>
      <c r="AX52" s="914">
        <f t="shared" si="83"/>
        <v>0</v>
      </c>
      <c r="AY52" s="910"/>
      <c r="AZ52" s="914"/>
      <c r="BA52" s="914">
        <v>0</v>
      </c>
      <c r="BB52" s="923"/>
      <c r="BC52" s="914">
        <f t="shared" si="84"/>
        <v>0</v>
      </c>
      <c r="BD52" s="910"/>
      <c r="BE52" s="914"/>
      <c r="BF52" s="914">
        <v>0</v>
      </c>
      <c r="BG52" s="923"/>
      <c r="BH52" s="914">
        <f t="shared" si="85"/>
        <v>0</v>
      </c>
      <c r="BI52" s="910"/>
      <c r="BJ52" s="914"/>
      <c r="BK52" s="914">
        <v>0</v>
      </c>
      <c r="BL52" s="923"/>
      <c r="BM52" s="914">
        <f t="shared" si="86"/>
        <v>0</v>
      </c>
      <c r="BN52" s="910"/>
      <c r="BO52" s="914"/>
      <c r="BP52" s="914">
        <v>0</v>
      </c>
      <c r="BQ52" s="923"/>
      <c r="BR52" s="914">
        <f t="shared" si="87"/>
        <v>0</v>
      </c>
      <c r="BS52" s="910"/>
      <c r="BT52" s="914"/>
      <c r="BU52" s="914">
        <v>0</v>
      </c>
      <c r="BV52" s="923"/>
      <c r="BW52" s="914">
        <f t="shared" si="88"/>
        <v>0</v>
      </c>
      <c r="BX52" s="910"/>
      <c r="BY52" s="914"/>
      <c r="BZ52" s="914">
        <v>0</v>
      </c>
      <c r="CA52" s="923"/>
      <c r="CB52" s="914">
        <f t="shared" si="89"/>
        <v>0</v>
      </c>
      <c r="CC52" s="910">
        <f t="shared" si="90"/>
        <v>0</v>
      </c>
      <c r="CD52" s="915">
        <f t="shared" si="91"/>
        <v>0</v>
      </c>
      <c r="CE52" s="916">
        <f t="shared" si="92"/>
        <v>0</v>
      </c>
      <c r="CF52" s="917">
        <f t="shared" si="93"/>
        <v>0</v>
      </c>
      <c r="CG52" s="916">
        <f t="shared" si="94"/>
        <v>0</v>
      </c>
      <c r="CH52" s="915"/>
    </row>
    <row r="53" spans="1:86" ht="14.25" hidden="1" customHeight="1">
      <c r="A53" s="380" t="s">
        <v>730</v>
      </c>
      <c r="B53" s="380"/>
      <c r="C53" s="921">
        <v>0</v>
      </c>
      <c r="D53" s="922"/>
      <c r="E53" s="909">
        <f t="shared" si="74"/>
        <v>0</v>
      </c>
      <c r="F53" s="909"/>
      <c r="G53" s="909"/>
      <c r="H53" s="921">
        <v>0</v>
      </c>
      <c r="I53" s="922"/>
      <c r="J53" s="909">
        <f t="shared" si="75"/>
        <v>0</v>
      </c>
      <c r="K53" s="910"/>
      <c r="L53" s="909"/>
      <c r="M53" s="921">
        <v>0</v>
      </c>
      <c r="N53" s="922"/>
      <c r="O53" s="909">
        <f t="shared" si="76"/>
        <v>0</v>
      </c>
      <c r="P53" s="910"/>
      <c r="Q53" s="909"/>
      <c r="R53" s="921">
        <v>0</v>
      </c>
      <c r="S53" s="922"/>
      <c r="T53" s="909">
        <f t="shared" si="77"/>
        <v>0</v>
      </c>
      <c r="U53" s="909"/>
      <c r="V53" s="909"/>
      <c r="W53" s="914">
        <v>0</v>
      </c>
      <c r="X53" s="923"/>
      <c r="Y53" s="914">
        <f t="shared" si="78"/>
        <v>0</v>
      </c>
      <c r="Z53" s="910"/>
      <c r="AA53" s="914"/>
      <c r="AB53" s="914">
        <v>0</v>
      </c>
      <c r="AC53" s="923"/>
      <c r="AD53" s="914">
        <f t="shared" si="79"/>
        <v>0</v>
      </c>
      <c r="AE53" s="910"/>
      <c r="AF53" s="914"/>
      <c r="AG53" s="914">
        <v>0</v>
      </c>
      <c r="AH53" s="923"/>
      <c r="AI53" s="914">
        <f t="shared" si="80"/>
        <v>0</v>
      </c>
      <c r="AJ53" s="910"/>
      <c r="AK53" s="914"/>
      <c r="AL53" s="914">
        <v>0</v>
      </c>
      <c r="AM53" s="923"/>
      <c r="AN53" s="914">
        <f t="shared" si="81"/>
        <v>0</v>
      </c>
      <c r="AO53" s="910"/>
      <c r="AP53" s="914"/>
      <c r="AQ53" s="914">
        <v>0</v>
      </c>
      <c r="AR53" s="923"/>
      <c r="AS53" s="914">
        <f t="shared" si="82"/>
        <v>0</v>
      </c>
      <c r="AT53" s="910"/>
      <c r="AU53" s="914"/>
      <c r="AV53" s="914">
        <v>0</v>
      </c>
      <c r="AW53" s="923"/>
      <c r="AX53" s="914">
        <f t="shared" si="83"/>
        <v>0</v>
      </c>
      <c r="AY53" s="910"/>
      <c r="AZ53" s="914"/>
      <c r="BA53" s="914">
        <v>0</v>
      </c>
      <c r="BB53" s="923"/>
      <c r="BC53" s="914">
        <f t="shared" si="84"/>
        <v>0</v>
      </c>
      <c r="BD53" s="910"/>
      <c r="BE53" s="914"/>
      <c r="BF53" s="914">
        <v>0</v>
      </c>
      <c r="BG53" s="923"/>
      <c r="BH53" s="914">
        <f t="shared" si="85"/>
        <v>0</v>
      </c>
      <c r="BI53" s="910"/>
      <c r="BJ53" s="914"/>
      <c r="BK53" s="914">
        <v>0</v>
      </c>
      <c r="BL53" s="923"/>
      <c r="BM53" s="914">
        <f t="shared" si="86"/>
        <v>0</v>
      </c>
      <c r="BN53" s="910"/>
      <c r="BO53" s="914"/>
      <c r="BP53" s="914">
        <v>0</v>
      </c>
      <c r="BQ53" s="923"/>
      <c r="BR53" s="914">
        <f t="shared" si="87"/>
        <v>0</v>
      </c>
      <c r="BS53" s="910"/>
      <c r="BT53" s="914"/>
      <c r="BU53" s="914">
        <v>0</v>
      </c>
      <c r="BV53" s="923"/>
      <c r="BW53" s="914">
        <f t="shared" si="88"/>
        <v>0</v>
      </c>
      <c r="BX53" s="910"/>
      <c r="BY53" s="914"/>
      <c r="BZ53" s="914">
        <v>0</v>
      </c>
      <c r="CA53" s="923"/>
      <c r="CB53" s="914">
        <f t="shared" si="89"/>
        <v>0</v>
      </c>
      <c r="CC53" s="910">
        <f t="shared" si="90"/>
        <v>0</v>
      </c>
      <c r="CD53" s="915">
        <f t="shared" si="91"/>
        <v>0</v>
      </c>
      <c r="CE53" s="916">
        <f t="shared" si="92"/>
        <v>0</v>
      </c>
      <c r="CF53" s="917">
        <f t="shared" si="93"/>
        <v>0</v>
      </c>
      <c r="CG53" s="916">
        <f t="shared" si="94"/>
        <v>0</v>
      </c>
      <c r="CH53" s="915"/>
    </row>
    <row r="54" spans="1:86" ht="14.25" customHeight="1">
      <c r="A54" s="380" t="s">
        <v>731</v>
      </c>
      <c r="B54" s="380"/>
      <c r="C54" s="921"/>
      <c r="D54" s="922"/>
      <c r="E54" s="909">
        <f t="shared" si="74"/>
        <v>0</v>
      </c>
      <c r="F54" s="909"/>
      <c r="G54" s="909"/>
      <c r="H54" s="921"/>
      <c r="I54" s="922"/>
      <c r="J54" s="909">
        <f t="shared" si="75"/>
        <v>0</v>
      </c>
      <c r="K54" s="910"/>
      <c r="L54" s="909"/>
      <c r="M54" s="921">
        <v>0</v>
      </c>
      <c r="N54" s="922"/>
      <c r="O54" s="909">
        <f t="shared" si="76"/>
        <v>0</v>
      </c>
      <c r="P54" s="910"/>
      <c r="Q54" s="909"/>
      <c r="R54" s="921">
        <v>0</v>
      </c>
      <c r="S54" s="922"/>
      <c r="T54" s="909">
        <f t="shared" si="77"/>
        <v>0</v>
      </c>
      <c r="U54" s="909"/>
      <c r="V54" s="909"/>
      <c r="W54" s="918"/>
      <c r="X54" s="923"/>
      <c r="Y54" s="914">
        <f t="shared" si="78"/>
        <v>0</v>
      </c>
      <c r="Z54" s="910"/>
      <c r="AA54" s="914"/>
      <c r="AB54" s="918"/>
      <c r="AC54" s="923"/>
      <c r="AD54" s="914">
        <f t="shared" si="79"/>
        <v>0</v>
      </c>
      <c r="AE54" s="910"/>
      <c r="AF54" s="914"/>
      <c r="AG54" s="918"/>
      <c r="AH54" s="923"/>
      <c r="AI54" s="914">
        <f t="shared" si="80"/>
        <v>0</v>
      </c>
      <c r="AJ54" s="910"/>
      <c r="AK54" s="914"/>
      <c r="AL54" s="918"/>
      <c r="AM54" s="923"/>
      <c r="AN54" s="914">
        <f t="shared" si="81"/>
        <v>0</v>
      </c>
      <c r="AO54" s="910"/>
      <c r="AP54" s="914"/>
      <c r="AQ54" s="918">
        <v>0</v>
      </c>
      <c r="AR54" s="923"/>
      <c r="AS54" s="914">
        <f t="shared" si="82"/>
        <v>0</v>
      </c>
      <c r="AT54" s="910"/>
      <c r="AU54" s="914"/>
      <c r="AV54" s="918"/>
      <c r="AW54" s="923"/>
      <c r="AX54" s="914">
        <f t="shared" si="83"/>
        <v>0</v>
      </c>
      <c r="AY54" s="910"/>
      <c r="AZ54" s="914"/>
      <c r="BA54" s="918"/>
      <c r="BB54" s="923"/>
      <c r="BC54" s="914">
        <f t="shared" si="84"/>
        <v>0</v>
      </c>
      <c r="BD54" s="910"/>
      <c r="BE54" s="914"/>
      <c r="BF54" s="918"/>
      <c r="BG54" s="923"/>
      <c r="BH54" s="914">
        <f t="shared" si="85"/>
        <v>0</v>
      </c>
      <c r="BI54" s="910"/>
      <c r="BJ54" s="914"/>
      <c r="BK54" s="918"/>
      <c r="BL54" s="923"/>
      <c r="BM54" s="914">
        <f t="shared" si="86"/>
        <v>0</v>
      </c>
      <c r="BN54" s="910"/>
      <c r="BO54" s="914"/>
      <c r="BP54" s="918"/>
      <c r="BQ54" s="923"/>
      <c r="BR54" s="914">
        <f t="shared" si="87"/>
        <v>0</v>
      </c>
      <c r="BS54" s="910"/>
      <c r="BT54" s="914"/>
      <c r="BU54" s="918"/>
      <c r="BV54" s="923"/>
      <c r="BW54" s="914">
        <f t="shared" si="88"/>
        <v>0</v>
      </c>
      <c r="BX54" s="910"/>
      <c r="BY54" s="914"/>
      <c r="BZ54" s="918">
        <v>0</v>
      </c>
      <c r="CA54" s="923"/>
      <c r="CB54" s="914">
        <f t="shared" si="89"/>
        <v>0</v>
      </c>
      <c r="CC54" s="910"/>
      <c r="CD54" s="915">
        <f t="shared" si="91"/>
        <v>0</v>
      </c>
      <c r="CE54" s="916">
        <f t="shared" si="92"/>
        <v>0</v>
      </c>
      <c r="CF54" s="917">
        <f t="shared" si="93"/>
        <v>0</v>
      </c>
      <c r="CG54" s="916">
        <f t="shared" ref="CG54:CH59" si="95">SUM(E54+J54+O54+T54+Y54+AD54+AI54+AN54+AS54+AX54+BC54+BH54+BM54+BR54+BW54+CB54)</f>
        <v>0</v>
      </c>
      <c r="CH54" s="916">
        <f t="shared" si="95"/>
        <v>0</v>
      </c>
    </row>
    <row r="55" spans="1:86" ht="14.25" customHeight="1">
      <c r="A55" s="380" t="s">
        <v>732</v>
      </c>
      <c r="B55" s="380"/>
      <c r="C55" s="921"/>
      <c r="D55" s="922"/>
      <c r="E55" s="909">
        <f t="shared" si="74"/>
        <v>0</v>
      </c>
      <c r="F55" s="909"/>
      <c r="G55" s="909"/>
      <c r="H55" s="921"/>
      <c r="I55" s="922"/>
      <c r="J55" s="909">
        <f t="shared" si="75"/>
        <v>0</v>
      </c>
      <c r="K55" s="910"/>
      <c r="L55" s="909"/>
      <c r="M55" s="921"/>
      <c r="N55" s="922"/>
      <c r="O55" s="909">
        <f t="shared" si="76"/>
        <v>0</v>
      </c>
      <c r="P55" s="910"/>
      <c r="Q55" s="909"/>
      <c r="R55" s="921"/>
      <c r="S55" s="922"/>
      <c r="T55" s="909">
        <f t="shared" si="77"/>
        <v>0</v>
      </c>
      <c r="U55" s="909"/>
      <c r="V55" s="909"/>
      <c r="W55" s="918"/>
      <c r="X55" s="923"/>
      <c r="Y55" s="914">
        <f t="shared" si="78"/>
        <v>0</v>
      </c>
      <c r="Z55" s="910"/>
      <c r="AA55" s="914"/>
      <c r="AB55" s="918"/>
      <c r="AC55" s="923"/>
      <c r="AD55" s="914">
        <f t="shared" si="79"/>
        <v>0</v>
      </c>
      <c r="AE55" s="910"/>
      <c r="AF55" s="914"/>
      <c r="AG55" s="918"/>
      <c r="AH55" s="923"/>
      <c r="AI55" s="914">
        <f t="shared" si="80"/>
        <v>0</v>
      </c>
      <c r="AJ55" s="910"/>
      <c r="AK55" s="914"/>
      <c r="AL55" s="918"/>
      <c r="AM55" s="923"/>
      <c r="AN55" s="914">
        <f t="shared" si="81"/>
        <v>0</v>
      </c>
      <c r="AO55" s="910"/>
      <c r="AP55" s="914"/>
      <c r="AQ55" s="918"/>
      <c r="AR55" s="923"/>
      <c r="AS55" s="914">
        <f t="shared" si="82"/>
        <v>0</v>
      </c>
      <c r="AT55" s="910"/>
      <c r="AU55" s="914"/>
      <c r="AV55" s="918"/>
      <c r="AW55" s="923"/>
      <c r="AX55" s="914">
        <f t="shared" si="83"/>
        <v>0</v>
      </c>
      <c r="AY55" s="910"/>
      <c r="AZ55" s="914"/>
      <c r="BA55" s="918"/>
      <c r="BB55" s="923"/>
      <c r="BC55" s="914">
        <f t="shared" si="84"/>
        <v>0</v>
      </c>
      <c r="BD55" s="910"/>
      <c r="BE55" s="914"/>
      <c r="BF55" s="918"/>
      <c r="BG55" s="923"/>
      <c r="BH55" s="914">
        <f t="shared" si="85"/>
        <v>0</v>
      </c>
      <c r="BI55" s="910"/>
      <c r="BJ55" s="914"/>
      <c r="BK55" s="918"/>
      <c r="BL55" s="923"/>
      <c r="BM55" s="914">
        <f t="shared" si="86"/>
        <v>0</v>
      </c>
      <c r="BN55" s="910"/>
      <c r="BO55" s="914"/>
      <c r="BP55" s="918"/>
      <c r="BQ55" s="923"/>
      <c r="BR55" s="914">
        <f t="shared" si="87"/>
        <v>0</v>
      </c>
      <c r="BS55" s="910"/>
      <c r="BT55" s="914"/>
      <c r="BU55" s="918"/>
      <c r="BV55" s="923"/>
      <c r="BW55" s="914">
        <f t="shared" si="88"/>
        <v>0</v>
      </c>
      <c r="BX55" s="910"/>
      <c r="BY55" s="914"/>
      <c r="BZ55" s="918"/>
      <c r="CA55" s="923"/>
      <c r="CB55" s="914">
        <f t="shared" si="89"/>
        <v>0</v>
      </c>
      <c r="CC55" s="910"/>
      <c r="CD55" s="915">
        <f t="shared" si="91"/>
        <v>0</v>
      </c>
      <c r="CE55" s="916">
        <f t="shared" si="92"/>
        <v>0</v>
      </c>
      <c r="CF55" s="917">
        <f t="shared" si="93"/>
        <v>0</v>
      </c>
      <c r="CG55" s="916">
        <f t="shared" si="95"/>
        <v>0</v>
      </c>
      <c r="CH55" s="916">
        <f t="shared" si="95"/>
        <v>0</v>
      </c>
    </row>
    <row r="56" spans="1:86" ht="15" customHeight="1">
      <c r="A56" s="380" t="s">
        <v>733</v>
      </c>
      <c r="B56" s="380"/>
      <c r="C56" s="921"/>
      <c r="D56" s="922"/>
      <c r="E56" s="909">
        <f t="shared" si="74"/>
        <v>0</v>
      </c>
      <c r="F56" s="909"/>
      <c r="G56" s="909"/>
      <c r="H56" s="921"/>
      <c r="I56" s="922"/>
      <c r="J56" s="909">
        <f t="shared" si="75"/>
        <v>0</v>
      </c>
      <c r="K56" s="910"/>
      <c r="L56" s="909"/>
      <c r="M56" s="921"/>
      <c r="N56" s="922"/>
      <c r="O56" s="909">
        <f t="shared" si="76"/>
        <v>0</v>
      </c>
      <c r="P56" s="910"/>
      <c r="Q56" s="909"/>
      <c r="R56" s="921"/>
      <c r="S56" s="922"/>
      <c r="T56" s="909">
        <f t="shared" si="77"/>
        <v>0</v>
      </c>
      <c r="U56" s="909"/>
      <c r="V56" s="909"/>
      <c r="W56" s="918"/>
      <c r="X56" s="923"/>
      <c r="Y56" s="914">
        <f t="shared" si="78"/>
        <v>0</v>
      </c>
      <c r="Z56" s="910"/>
      <c r="AA56" s="914"/>
      <c r="AB56" s="918"/>
      <c r="AC56" s="923"/>
      <c r="AD56" s="914">
        <f t="shared" si="79"/>
        <v>0</v>
      </c>
      <c r="AE56" s="910"/>
      <c r="AF56" s="914"/>
      <c r="AG56" s="918"/>
      <c r="AH56" s="923"/>
      <c r="AI56" s="914">
        <f t="shared" si="80"/>
        <v>0</v>
      </c>
      <c r="AJ56" s="910"/>
      <c r="AK56" s="914"/>
      <c r="AL56" s="918"/>
      <c r="AM56" s="923"/>
      <c r="AN56" s="914">
        <f t="shared" si="81"/>
        <v>0</v>
      </c>
      <c r="AO56" s="910"/>
      <c r="AP56" s="914"/>
      <c r="AQ56" s="918"/>
      <c r="AR56" s="923"/>
      <c r="AS56" s="914">
        <f t="shared" si="82"/>
        <v>0</v>
      </c>
      <c r="AT56" s="910"/>
      <c r="AU56" s="914"/>
      <c r="AV56" s="918"/>
      <c r="AW56" s="923"/>
      <c r="AX56" s="914">
        <f t="shared" si="83"/>
        <v>0</v>
      </c>
      <c r="AY56" s="910"/>
      <c r="AZ56" s="914"/>
      <c r="BA56" s="918"/>
      <c r="BB56" s="923"/>
      <c r="BC56" s="914">
        <f t="shared" si="84"/>
        <v>0</v>
      </c>
      <c r="BD56" s="910"/>
      <c r="BE56" s="914"/>
      <c r="BF56" s="918"/>
      <c r="BG56" s="923"/>
      <c r="BH56" s="914">
        <f t="shared" si="85"/>
        <v>0</v>
      </c>
      <c r="BI56" s="910"/>
      <c r="BJ56" s="914"/>
      <c r="BK56" s="918"/>
      <c r="BL56" s="923"/>
      <c r="BM56" s="914">
        <f t="shared" si="86"/>
        <v>0</v>
      </c>
      <c r="BN56" s="910"/>
      <c r="BO56" s="914"/>
      <c r="BP56" s="918"/>
      <c r="BQ56" s="923"/>
      <c r="BR56" s="914">
        <f t="shared" si="87"/>
        <v>0</v>
      </c>
      <c r="BS56" s="910"/>
      <c r="BT56" s="914"/>
      <c r="BU56" s="918"/>
      <c r="BV56" s="923"/>
      <c r="BW56" s="914">
        <f t="shared" si="88"/>
        <v>0</v>
      </c>
      <c r="BX56" s="910"/>
      <c r="BY56" s="914"/>
      <c r="BZ56" s="918"/>
      <c r="CA56" s="923"/>
      <c r="CB56" s="914">
        <f t="shared" si="89"/>
        <v>0</v>
      </c>
      <c r="CC56" s="910"/>
      <c r="CD56" s="915">
        <f t="shared" si="91"/>
        <v>0</v>
      </c>
      <c r="CE56" s="916">
        <f t="shared" si="92"/>
        <v>0</v>
      </c>
      <c r="CF56" s="917">
        <f t="shared" si="93"/>
        <v>0</v>
      </c>
      <c r="CG56" s="916">
        <f t="shared" si="95"/>
        <v>0</v>
      </c>
      <c r="CH56" s="916">
        <f t="shared" si="95"/>
        <v>0</v>
      </c>
    </row>
    <row r="57" spans="1:86" ht="15" customHeight="1">
      <c r="A57" s="380" t="s">
        <v>734</v>
      </c>
      <c r="B57" s="380"/>
      <c r="C57" s="921"/>
      <c r="D57" s="922"/>
      <c r="E57" s="909">
        <f t="shared" si="74"/>
        <v>0</v>
      </c>
      <c r="F57" s="909"/>
      <c r="G57" s="909"/>
      <c r="H57" s="921"/>
      <c r="I57" s="922"/>
      <c r="J57" s="909">
        <f t="shared" si="75"/>
        <v>0</v>
      </c>
      <c r="K57" s="910"/>
      <c r="L57" s="909"/>
      <c r="M57" s="921"/>
      <c r="N57" s="922"/>
      <c r="O57" s="909">
        <f t="shared" si="76"/>
        <v>0</v>
      </c>
      <c r="P57" s="910"/>
      <c r="Q57" s="909"/>
      <c r="R57" s="921"/>
      <c r="S57" s="922"/>
      <c r="T57" s="909">
        <f t="shared" si="77"/>
        <v>0</v>
      </c>
      <c r="U57" s="909"/>
      <c r="V57" s="909"/>
      <c r="W57" s="918"/>
      <c r="X57" s="923"/>
      <c r="Y57" s="914">
        <f t="shared" si="78"/>
        <v>0</v>
      </c>
      <c r="Z57" s="910"/>
      <c r="AA57" s="914"/>
      <c r="AB57" s="918"/>
      <c r="AC57" s="923"/>
      <c r="AD57" s="914">
        <f t="shared" si="79"/>
        <v>0</v>
      </c>
      <c r="AE57" s="910"/>
      <c r="AF57" s="914"/>
      <c r="AG57" s="918"/>
      <c r="AH57" s="923"/>
      <c r="AI57" s="914">
        <f t="shared" si="80"/>
        <v>0</v>
      </c>
      <c r="AJ57" s="910"/>
      <c r="AK57" s="914"/>
      <c r="AL57" s="918"/>
      <c r="AM57" s="923"/>
      <c r="AN57" s="914">
        <f t="shared" si="81"/>
        <v>0</v>
      </c>
      <c r="AO57" s="910"/>
      <c r="AP57" s="914"/>
      <c r="AQ57" s="918"/>
      <c r="AR57" s="923"/>
      <c r="AS57" s="914">
        <f t="shared" si="82"/>
        <v>0</v>
      </c>
      <c r="AT57" s="910"/>
      <c r="AU57" s="914"/>
      <c r="AV57" s="918"/>
      <c r="AW57" s="923"/>
      <c r="AX57" s="914">
        <f t="shared" si="83"/>
        <v>0</v>
      </c>
      <c r="AY57" s="910"/>
      <c r="AZ57" s="914"/>
      <c r="BA57" s="918"/>
      <c r="BB57" s="923"/>
      <c r="BC57" s="914">
        <f t="shared" si="84"/>
        <v>0</v>
      </c>
      <c r="BD57" s="910"/>
      <c r="BE57" s="914"/>
      <c r="BF57" s="918"/>
      <c r="BG57" s="923"/>
      <c r="BH57" s="914">
        <f t="shared" si="85"/>
        <v>0</v>
      </c>
      <c r="BI57" s="910"/>
      <c r="BJ57" s="914"/>
      <c r="BK57" s="918"/>
      <c r="BL57" s="923"/>
      <c r="BM57" s="914">
        <f t="shared" si="86"/>
        <v>0</v>
      </c>
      <c r="BN57" s="910"/>
      <c r="BO57" s="914"/>
      <c r="BP57" s="918"/>
      <c r="BQ57" s="923"/>
      <c r="BR57" s="914">
        <f t="shared" si="87"/>
        <v>0</v>
      </c>
      <c r="BS57" s="910"/>
      <c r="BT57" s="914"/>
      <c r="BU57" s="918"/>
      <c r="BV57" s="923"/>
      <c r="BW57" s="914">
        <f t="shared" si="88"/>
        <v>0</v>
      </c>
      <c r="BX57" s="910"/>
      <c r="BY57" s="914"/>
      <c r="BZ57" s="918"/>
      <c r="CA57" s="923"/>
      <c r="CB57" s="914">
        <f t="shared" si="89"/>
        <v>0</v>
      </c>
      <c r="CC57" s="910"/>
      <c r="CD57" s="915">
        <f t="shared" si="91"/>
        <v>0</v>
      </c>
      <c r="CE57" s="916">
        <f t="shared" si="92"/>
        <v>0</v>
      </c>
      <c r="CF57" s="917">
        <f t="shared" si="93"/>
        <v>0</v>
      </c>
      <c r="CG57" s="930">
        <f t="shared" si="95"/>
        <v>0</v>
      </c>
      <c r="CH57" s="916">
        <f t="shared" si="95"/>
        <v>0</v>
      </c>
    </row>
    <row r="58" spans="1:86" ht="15" customHeight="1">
      <c r="A58" s="380" t="s">
        <v>735</v>
      </c>
      <c r="B58" s="380"/>
      <c r="C58" s="921"/>
      <c r="D58" s="922"/>
      <c r="E58" s="909">
        <f t="shared" si="74"/>
        <v>0</v>
      </c>
      <c r="F58" s="909"/>
      <c r="G58" s="909"/>
      <c r="H58" s="921"/>
      <c r="I58" s="922"/>
      <c r="J58" s="909">
        <f t="shared" si="75"/>
        <v>0</v>
      </c>
      <c r="K58" s="910"/>
      <c r="L58" s="909"/>
      <c r="M58" s="921"/>
      <c r="N58" s="922"/>
      <c r="O58" s="909">
        <f t="shared" si="76"/>
        <v>0</v>
      </c>
      <c r="P58" s="910"/>
      <c r="Q58" s="909"/>
      <c r="R58" s="921"/>
      <c r="S58" s="922"/>
      <c r="T58" s="909">
        <f t="shared" si="77"/>
        <v>0</v>
      </c>
      <c r="U58" s="909"/>
      <c r="V58" s="909"/>
      <c r="W58" s="918"/>
      <c r="X58" s="923"/>
      <c r="Y58" s="914">
        <f t="shared" si="78"/>
        <v>0</v>
      </c>
      <c r="Z58" s="910"/>
      <c r="AA58" s="914"/>
      <c r="AB58" s="918"/>
      <c r="AC58" s="923"/>
      <c r="AD58" s="914">
        <f t="shared" si="79"/>
        <v>0</v>
      </c>
      <c r="AE58" s="910"/>
      <c r="AF58" s="914"/>
      <c r="AG58" s="918"/>
      <c r="AH58" s="923"/>
      <c r="AI58" s="914">
        <f t="shared" si="80"/>
        <v>0</v>
      </c>
      <c r="AJ58" s="910"/>
      <c r="AK58" s="914"/>
      <c r="AL58" s="918"/>
      <c r="AM58" s="923"/>
      <c r="AN58" s="914">
        <f t="shared" si="81"/>
        <v>0</v>
      </c>
      <c r="AO58" s="910"/>
      <c r="AP58" s="914"/>
      <c r="AQ58" s="918"/>
      <c r="AR58" s="923"/>
      <c r="AS58" s="914">
        <f t="shared" si="82"/>
        <v>0</v>
      </c>
      <c r="AT58" s="910"/>
      <c r="AU58" s="914"/>
      <c r="AV58" s="918"/>
      <c r="AW58" s="923"/>
      <c r="AX58" s="914">
        <f t="shared" si="83"/>
        <v>0</v>
      </c>
      <c r="AY58" s="910"/>
      <c r="AZ58" s="914"/>
      <c r="BA58" s="918"/>
      <c r="BB58" s="923"/>
      <c r="BC58" s="914">
        <f t="shared" si="84"/>
        <v>0</v>
      </c>
      <c r="BD58" s="910"/>
      <c r="BE58" s="914"/>
      <c r="BF58" s="918"/>
      <c r="BG58" s="923"/>
      <c r="BH58" s="914">
        <f t="shared" si="85"/>
        <v>0</v>
      </c>
      <c r="BI58" s="910"/>
      <c r="BJ58" s="914"/>
      <c r="BK58" s="918"/>
      <c r="BL58" s="923"/>
      <c r="BM58" s="914">
        <f t="shared" si="86"/>
        <v>0</v>
      </c>
      <c r="BN58" s="910"/>
      <c r="BO58" s="914"/>
      <c r="BP58" s="918"/>
      <c r="BQ58" s="923"/>
      <c r="BR58" s="914">
        <f t="shared" si="87"/>
        <v>0</v>
      </c>
      <c r="BS58" s="910"/>
      <c r="BT58" s="914"/>
      <c r="BU58" s="918"/>
      <c r="BV58" s="923"/>
      <c r="BW58" s="914">
        <f t="shared" si="88"/>
        <v>0</v>
      </c>
      <c r="BX58" s="910"/>
      <c r="BY58" s="914"/>
      <c r="BZ58" s="918"/>
      <c r="CA58" s="923"/>
      <c r="CB58" s="914">
        <f t="shared" si="89"/>
        <v>0</v>
      </c>
      <c r="CC58" s="910"/>
      <c r="CD58" s="915">
        <f t="shared" si="91"/>
        <v>0</v>
      </c>
      <c r="CE58" s="916">
        <f t="shared" si="92"/>
        <v>0</v>
      </c>
      <c r="CF58" s="917">
        <f t="shared" si="93"/>
        <v>0</v>
      </c>
      <c r="CG58" s="930">
        <f t="shared" si="95"/>
        <v>0</v>
      </c>
      <c r="CH58" s="916">
        <f t="shared" si="95"/>
        <v>0</v>
      </c>
    </row>
    <row r="59" spans="1:86" s="832" customFormat="1" ht="15" customHeight="1">
      <c r="A59" s="380" t="s">
        <v>736</v>
      </c>
      <c r="B59" s="380"/>
      <c r="C59" s="921"/>
      <c r="D59" s="922"/>
      <c r="E59" s="909">
        <f t="shared" si="74"/>
        <v>0</v>
      </c>
      <c r="F59" s="909"/>
      <c r="G59" s="909"/>
      <c r="H59" s="921"/>
      <c r="I59" s="922"/>
      <c r="J59" s="909">
        <f t="shared" si="75"/>
        <v>0</v>
      </c>
      <c r="K59" s="910"/>
      <c r="L59" s="909"/>
      <c r="M59" s="921"/>
      <c r="N59" s="922"/>
      <c r="O59" s="909">
        <f t="shared" si="76"/>
        <v>0</v>
      </c>
      <c r="P59" s="910"/>
      <c r="Q59" s="909"/>
      <c r="R59" s="921"/>
      <c r="S59" s="922"/>
      <c r="T59" s="909">
        <f t="shared" si="77"/>
        <v>0</v>
      </c>
      <c r="U59" s="909"/>
      <c r="V59" s="909"/>
      <c r="W59" s="918"/>
      <c r="X59" s="923"/>
      <c r="Y59" s="914">
        <f t="shared" si="78"/>
        <v>0</v>
      </c>
      <c r="Z59" s="910"/>
      <c r="AA59" s="914"/>
      <c r="AB59" s="918"/>
      <c r="AC59" s="923"/>
      <c r="AD59" s="914">
        <f t="shared" si="79"/>
        <v>0</v>
      </c>
      <c r="AE59" s="910"/>
      <c r="AF59" s="914"/>
      <c r="AG59" s="918"/>
      <c r="AH59" s="923"/>
      <c r="AI59" s="914">
        <f t="shared" si="80"/>
        <v>0</v>
      </c>
      <c r="AJ59" s="910"/>
      <c r="AK59" s="914"/>
      <c r="AL59" s="918"/>
      <c r="AM59" s="923"/>
      <c r="AN59" s="914">
        <f t="shared" si="81"/>
        <v>0</v>
      </c>
      <c r="AO59" s="910"/>
      <c r="AP59" s="914"/>
      <c r="AQ59" s="918"/>
      <c r="AR59" s="923"/>
      <c r="AS59" s="914">
        <f t="shared" si="82"/>
        <v>0</v>
      </c>
      <c r="AT59" s="910"/>
      <c r="AU59" s="914"/>
      <c r="AV59" s="918"/>
      <c r="AW59" s="923"/>
      <c r="AX59" s="914">
        <f t="shared" si="83"/>
        <v>0</v>
      </c>
      <c r="AY59" s="910"/>
      <c r="AZ59" s="914"/>
      <c r="BA59" s="918"/>
      <c r="BB59" s="923"/>
      <c r="BC59" s="914">
        <f t="shared" si="84"/>
        <v>0</v>
      </c>
      <c r="BD59" s="910"/>
      <c r="BE59" s="914"/>
      <c r="BF59" s="918"/>
      <c r="BG59" s="923"/>
      <c r="BH59" s="914">
        <f t="shared" si="85"/>
        <v>0</v>
      </c>
      <c r="BI59" s="910"/>
      <c r="BJ59" s="914"/>
      <c r="BK59" s="918"/>
      <c r="BL59" s="923"/>
      <c r="BM59" s="914">
        <f t="shared" si="86"/>
        <v>0</v>
      </c>
      <c r="BN59" s="910"/>
      <c r="BO59" s="914"/>
      <c r="BP59" s="918"/>
      <c r="BQ59" s="923"/>
      <c r="BR59" s="914">
        <f t="shared" si="87"/>
        <v>0</v>
      </c>
      <c r="BS59" s="910"/>
      <c r="BT59" s="914"/>
      <c r="BU59" s="918"/>
      <c r="BV59" s="923"/>
      <c r="BW59" s="914">
        <f t="shared" si="88"/>
        <v>0</v>
      </c>
      <c r="BX59" s="910"/>
      <c r="BY59" s="914"/>
      <c r="BZ59" s="918"/>
      <c r="CA59" s="923"/>
      <c r="CB59" s="914">
        <f t="shared" si="89"/>
        <v>0</v>
      </c>
      <c r="CC59" s="910"/>
      <c r="CD59" s="915">
        <f t="shared" si="91"/>
        <v>0</v>
      </c>
      <c r="CE59" s="916">
        <f t="shared" si="92"/>
        <v>0</v>
      </c>
      <c r="CF59" s="917">
        <f t="shared" si="93"/>
        <v>0</v>
      </c>
      <c r="CG59" s="930">
        <f t="shared" si="95"/>
        <v>0</v>
      </c>
      <c r="CH59" s="916">
        <f t="shared" si="95"/>
        <v>0</v>
      </c>
    </row>
    <row r="60" spans="1:86" s="927" customFormat="1" ht="15" customHeight="1">
      <c r="A60" s="934" t="s">
        <v>737</v>
      </c>
      <c r="B60" s="934">
        <f t="shared" ref="B60:AG60" si="96">SUM(B47:B59)</f>
        <v>0</v>
      </c>
      <c r="C60" s="934">
        <f t="shared" si="96"/>
        <v>0</v>
      </c>
      <c r="D60" s="934">
        <f t="shared" si="96"/>
        <v>0</v>
      </c>
      <c r="E60" s="935">
        <f t="shared" si="96"/>
        <v>0</v>
      </c>
      <c r="F60" s="934">
        <f t="shared" si="96"/>
        <v>0</v>
      </c>
      <c r="G60" s="934">
        <f t="shared" si="96"/>
        <v>0</v>
      </c>
      <c r="H60" s="934">
        <f t="shared" si="96"/>
        <v>0</v>
      </c>
      <c r="I60" s="934">
        <f t="shared" si="96"/>
        <v>0</v>
      </c>
      <c r="J60" s="935">
        <f t="shared" si="96"/>
        <v>0</v>
      </c>
      <c r="K60" s="936">
        <f t="shared" si="96"/>
        <v>0</v>
      </c>
      <c r="L60" s="934">
        <f t="shared" si="96"/>
        <v>0</v>
      </c>
      <c r="M60" s="934">
        <f t="shared" si="96"/>
        <v>0</v>
      </c>
      <c r="N60" s="934">
        <f t="shared" si="96"/>
        <v>0</v>
      </c>
      <c r="O60" s="935">
        <f t="shared" si="96"/>
        <v>0</v>
      </c>
      <c r="P60" s="936">
        <f t="shared" si="96"/>
        <v>0</v>
      </c>
      <c r="Q60" s="934">
        <f t="shared" si="96"/>
        <v>0</v>
      </c>
      <c r="R60" s="934">
        <f t="shared" si="96"/>
        <v>0</v>
      </c>
      <c r="S60" s="934">
        <f t="shared" si="96"/>
        <v>0</v>
      </c>
      <c r="T60" s="935">
        <f t="shared" si="96"/>
        <v>0</v>
      </c>
      <c r="U60" s="934">
        <f t="shared" si="96"/>
        <v>0</v>
      </c>
      <c r="V60" s="934">
        <f t="shared" si="96"/>
        <v>0</v>
      </c>
      <c r="W60" s="934">
        <f t="shared" si="96"/>
        <v>0</v>
      </c>
      <c r="X60" s="934">
        <f t="shared" si="96"/>
        <v>0</v>
      </c>
      <c r="Y60" s="935">
        <f t="shared" si="96"/>
        <v>0</v>
      </c>
      <c r="Z60" s="936">
        <f t="shared" si="96"/>
        <v>0</v>
      </c>
      <c r="AA60" s="934">
        <f t="shared" si="96"/>
        <v>0</v>
      </c>
      <c r="AB60" s="934">
        <f t="shared" si="96"/>
        <v>0</v>
      </c>
      <c r="AC60" s="934">
        <f t="shared" si="96"/>
        <v>0</v>
      </c>
      <c r="AD60" s="935">
        <f t="shared" si="96"/>
        <v>0</v>
      </c>
      <c r="AE60" s="936">
        <f t="shared" si="96"/>
        <v>0</v>
      </c>
      <c r="AF60" s="934">
        <f t="shared" si="96"/>
        <v>0</v>
      </c>
      <c r="AG60" s="934">
        <f t="shared" si="96"/>
        <v>0</v>
      </c>
      <c r="AH60" s="934">
        <f t="shared" ref="AH60:BM60" si="97">SUM(AH47:AH59)</f>
        <v>0</v>
      </c>
      <c r="AI60" s="935">
        <f t="shared" si="97"/>
        <v>0</v>
      </c>
      <c r="AJ60" s="936">
        <f t="shared" si="97"/>
        <v>0</v>
      </c>
      <c r="AK60" s="934">
        <f t="shared" si="97"/>
        <v>0</v>
      </c>
      <c r="AL60" s="934">
        <f t="shared" si="97"/>
        <v>0</v>
      </c>
      <c r="AM60" s="934">
        <f t="shared" si="97"/>
        <v>0</v>
      </c>
      <c r="AN60" s="935">
        <f t="shared" si="97"/>
        <v>0</v>
      </c>
      <c r="AO60" s="936">
        <f t="shared" si="97"/>
        <v>0</v>
      </c>
      <c r="AP60" s="934">
        <f t="shared" si="97"/>
        <v>0</v>
      </c>
      <c r="AQ60" s="934">
        <f t="shared" si="97"/>
        <v>0</v>
      </c>
      <c r="AR60" s="934">
        <f t="shared" si="97"/>
        <v>0</v>
      </c>
      <c r="AS60" s="935">
        <f t="shared" si="97"/>
        <v>0</v>
      </c>
      <c r="AT60" s="936">
        <f t="shared" si="97"/>
        <v>0</v>
      </c>
      <c r="AU60" s="934">
        <f t="shared" si="97"/>
        <v>0</v>
      </c>
      <c r="AV60" s="934">
        <f t="shared" si="97"/>
        <v>0</v>
      </c>
      <c r="AW60" s="934">
        <f t="shared" si="97"/>
        <v>0</v>
      </c>
      <c r="AX60" s="935">
        <f t="shared" si="97"/>
        <v>0</v>
      </c>
      <c r="AY60" s="936">
        <f t="shared" si="97"/>
        <v>0</v>
      </c>
      <c r="AZ60" s="934">
        <f t="shared" si="97"/>
        <v>0</v>
      </c>
      <c r="BA60" s="934">
        <f t="shared" si="97"/>
        <v>0</v>
      </c>
      <c r="BB60" s="934">
        <f t="shared" si="97"/>
        <v>0</v>
      </c>
      <c r="BC60" s="935">
        <f t="shared" si="97"/>
        <v>0</v>
      </c>
      <c r="BD60" s="936">
        <f t="shared" si="97"/>
        <v>0</v>
      </c>
      <c r="BE60" s="934">
        <f t="shared" si="97"/>
        <v>0</v>
      </c>
      <c r="BF60" s="934">
        <f t="shared" si="97"/>
        <v>0</v>
      </c>
      <c r="BG60" s="934">
        <f t="shared" si="97"/>
        <v>0</v>
      </c>
      <c r="BH60" s="935">
        <f t="shared" si="97"/>
        <v>0</v>
      </c>
      <c r="BI60" s="936">
        <f t="shared" si="97"/>
        <v>0</v>
      </c>
      <c r="BJ60" s="934">
        <f t="shared" si="97"/>
        <v>0</v>
      </c>
      <c r="BK60" s="934">
        <f t="shared" si="97"/>
        <v>0</v>
      </c>
      <c r="BL60" s="934">
        <f t="shared" si="97"/>
        <v>0</v>
      </c>
      <c r="BM60" s="935">
        <f t="shared" si="97"/>
        <v>0</v>
      </c>
      <c r="BN60" s="936">
        <f t="shared" ref="BN60:CH60" si="98">SUM(BN47:BN59)</f>
        <v>0</v>
      </c>
      <c r="BO60" s="934">
        <f t="shared" si="98"/>
        <v>0</v>
      </c>
      <c r="BP60" s="934">
        <f t="shared" si="98"/>
        <v>0</v>
      </c>
      <c r="BQ60" s="934">
        <f t="shared" si="98"/>
        <v>0</v>
      </c>
      <c r="BR60" s="935">
        <f t="shared" si="98"/>
        <v>0</v>
      </c>
      <c r="BS60" s="936">
        <f t="shared" si="98"/>
        <v>0</v>
      </c>
      <c r="BT60" s="934">
        <f t="shared" si="98"/>
        <v>0</v>
      </c>
      <c r="BU60" s="934">
        <f t="shared" si="98"/>
        <v>0</v>
      </c>
      <c r="BV60" s="934">
        <f t="shared" si="98"/>
        <v>0</v>
      </c>
      <c r="BW60" s="935">
        <f t="shared" si="98"/>
        <v>0</v>
      </c>
      <c r="BX60" s="936">
        <f t="shared" si="98"/>
        <v>0</v>
      </c>
      <c r="BY60" s="934">
        <f t="shared" si="98"/>
        <v>0</v>
      </c>
      <c r="BZ60" s="934">
        <f t="shared" si="98"/>
        <v>0</v>
      </c>
      <c r="CA60" s="934">
        <f t="shared" si="98"/>
        <v>0</v>
      </c>
      <c r="CB60" s="935">
        <f t="shared" si="98"/>
        <v>0</v>
      </c>
      <c r="CC60" s="936">
        <f t="shared" si="98"/>
        <v>0</v>
      </c>
      <c r="CD60" s="934">
        <f t="shared" si="98"/>
        <v>0</v>
      </c>
      <c r="CE60" s="934">
        <f t="shared" si="98"/>
        <v>0</v>
      </c>
      <c r="CF60" s="934">
        <f t="shared" si="98"/>
        <v>0</v>
      </c>
      <c r="CG60" s="934">
        <f t="shared" si="98"/>
        <v>0</v>
      </c>
      <c r="CH60" s="934">
        <f t="shared" si="98"/>
        <v>0</v>
      </c>
    </row>
    <row r="61" spans="1:86" s="927" customFormat="1" ht="15" customHeight="1">
      <c r="A61" s="938" t="s">
        <v>738</v>
      </c>
      <c r="B61" s="939">
        <f t="shared" ref="B61:AG61" si="99">SUM(B46+B60)</f>
        <v>1398806703</v>
      </c>
      <c r="C61" s="939">
        <f t="shared" si="99"/>
        <v>1560235901</v>
      </c>
      <c r="D61" s="939">
        <f t="shared" si="99"/>
        <v>2927687</v>
      </c>
      <c r="E61" s="940">
        <f t="shared" si="99"/>
        <v>1575810324</v>
      </c>
      <c r="F61" s="939">
        <f t="shared" si="99"/>
        <v>1498432086</v>
      </c>
      <c r="G61" s="939">
        <f t="shared" si="99"/>
        <v>581575011</v>
      </c>
      <c r="H61" s="939">
        <f t="shared" si="99"/>
        <v>611092230</v>
      </c>
      <c r="I61" s="939">
        <f t="shared" si="99"/>
        <v>9725706</v>
      </c>
      <c r="J61" s="940">
        <f t="shared" si="99"/>
        <v>663364302</v>
      </c>
      <c r="K61" s="941">
        <f t="shared" si="99"/>
        <v>623449678</v>
      </c>
      <c r="L61" s="939">
        <f t="shared" si="99"/>
        <v>738374401</v>
      </c>
      <c r="M61" s="939">
        <f t="shared" si="99"/>
        <v>785853399</v>
      </c>
      <c r="N61" s="939">
        <f t="shared" si="99"/>
        <v>8995033</v>
      </c>
      <c r="O61" s="940">
        <f t="shared" si="99"/>
        <v>792207298</v>
      </c>
      <c r="P61" s="941">
        <f t="shared" si="99"/>
        <v>724032030</v>
      </c>
      <c r="Q61" s="939">
        <f t="shared" si="99"/>
        <v>857068517</v>
      </c>
      <c r="R61" s="939">
        <f t="shared" si="99"/>
        <v>918264856</v>
      </c>
      <c r="S61" s="939">
        <f t="shared" si="99"/>
        <v>5618859</v>
      </c>
      <c r="T61" s="940">
        <f t="shared" si="99"/>
        <v>931153757</v>
      </c>
      <c r="U61" s="939">
        <f t="shared" si="99"/>
        <v>807962752</v>
      </c>
      <c r="V61" s="939">
        <f t="shared" si="99"/>
        <v>147022989</v>
      </c>
      <c r="W61" s="939">
        <f t="shared" si="99"/>
        <v>151725082</v>
      </c>
      <c r="X61" s="939">
        <f t="shared" si="99"/>
        <v>2006691</v>
      </c>
      <c r="Y61" s="940">
        <f t="shared" si="99"/>
        <v>159264424</v>
      </c>
      <c r="Z61" s="941">
        <f t="shared" si="99"/>
        <v>150306757</v>
      </c>
      <c r="AA61" s="939">
        <f t="shared" si="99"/>
        <v>225021214</v>
      </c>
      <c r="AB61" s="939">
        <f t="shared" si="99"/>
        <v>260163170</v>
      </c>
      <c r="AC61" s="939">
        <f t="shared" si="99"/>
        <v>-768688</v>
      </c>
      <c r="AD61" s="940">
        <f t="shared" si="99"/>
        <v>266351344</v>
      </c>
      <c r="AE61" s="941">
        <f t="shared" si="99"/>
        <v>249951886</v>
      </c>
      <c r="AF61" s="939">
        <f t="shared" si="99"/>
        <v>175645111</v>
      </c>
      <c r="AG61" s="939">
        <f t="shared" si="99"/>
        <v>198048216</v>
      </c>
      <c r="AH61" s="939">
        <f t="shared" ref="AH61:BM61" si="100">SUM(AH46+AH60)</f>
        <v>1476770</v>
      </c>
      <c r="AI61" s="940">
        <f t="shared" si="100"/>
        <v>203040297</v>
      </c>
      <c r="AJ61" s="941">
        <f t="shared" si="100"/>
        <v>194919180</v>
      </c>
      <c r="AK61" s="939">
        <f t="shared" si="100"/>
        <v>257495032</v>
      </c>
      <c r="AL61" s="939">
        <f t="shared" si="100"/>
        <v>260928117</v>
      </c>
      <c r="AM61" s="939">
        <f t="shared" si="100"/>
        <v>3800920</v>
      </c>
      <c r="AN61" s="940">
        <f t="shared" si="100"/>
        <v>273567083</v>
      </c>
      <c r="AO61" s="941">
        <f t="shared" si="100"/>
        <v>262168167</v>
      </c>
      <c r="AP61" s="939">
        <f t="shared" si="100"/>
        <v>152701663</v>
      </c>
      <c r="AQ61" s="939">
        <f t="shared" si="100"/>
        <v>155022461</v>
      </c>
      <c r="AR61" s="939">
        <f t="shared" si="100"/>
        <v>67885</v>
      </c>
      <c r="AS61" s="940">
        <f t="shared" si="100"/>
        <v>157700743</v>
      </c>
      <c r="AT61" s="941">
        <f t="shared" si="100"/>
        <v>150432924</v>
      </c>
      <c r="AU61" s="939">
        <f t="shared" si="100"/>
        <v>148685702</v>
      </c>
      <c r="AV61" s="939">
        <f t="shared" si="100"/>
        <v>152884332</v>
      </c>
      <c r="AW61" s="939">
        <f t="shared" si="100"/>
        <v>1697936</v>
      </c>
      <c r="AX61" s="940">
        <f t="shared" si="100"/>
        <v>158235150</v>
      </c>
      <c r="AY61" s="941">
        <f t="shared" si="100"/>
        <v>151645356</v>
      </c>
      <c r="AZ61" s="939">
        <f t="shared" si="100"/>
        <v>180829472</v>
      </c>
      <c r="BA61" s="939">
        <f t="shared" si="100"/>
        <v>190266700</v>
      </c>
      <c r="BB61" s="939">
        <f t="shared" si="100"/>
        <v>2708931</v>
      </c>
      <c r="BC61" s="940">
        <f t="shared" si="100"/>
        <v>204083984</v>
      </c>
      <c r="BD61" s="941">
        <f t="shared" si="100"/>
        <v>192938350</v>
      </c>
      <c r="BE61" s="939">
        <f t="shared" si="100"/>
        <v>174593049</v>
      </c>
      <c r="BF61" s="939">
        <f t="shared" si="100"/>
        <v>178245822</v>
      </c>
      <c r="BG61" s="939">
        <f t="shared" si="100"/>
        <v>825137</v>
      </c>
      <c r="BH61" s="940">
        <f t="shared" si="100"/>
        <v>180653252</v>
      </c>
      <c r="BI61" s="941">
        <f t="shared" si="100"/>
        <v>170683668</v>
      </c>
      <c r="BJ61" s="939">
        <f t="shared" si="100"/>
        <v>208812832</v>
      </c>
      <c r="BK61" s="939">
        <f t="shared" si="100"/>
        <v>211124013</v>
      </c>
      <c r="BL61" s="939">
        <f t="shared" si="100"/>
        <v>1583141</v>
      </c>
      <c r="BM61" s="940">
        <f t="shared" si="100"/>
        <v>205145295</v>
      </c>
      <c r="BN61" s="941">
        <f t="shared" ref="BN61:CH61" si="101">SUM(BN46+BN60)</f>
        <v>185380060</v>
      </c>
      <c r="BO61" s="939">
        <f t="shared" si="101"/>
        <v>221120086</v>
      </c>
      <c r="BP61" s="939">
        <f t="shared" si="101"/>
        <v>226047834</v>
      </c>
      <c r="BQ61" s="939">
        <f t="shared" si="101"/>
        <v>2225532</v>
      </c>
      <c r="BR61" s="940">
        <f t="shared" si="101"/>
        <v>236055265</v>
      </c>
      <c r="BS61" s="941">
        <f t="shared" si="101"/>
        <v>230059464</v>
      </c>
      <c r="BT61" s="939">
        <f t="shared" si="101"/>
        <v>129220019</v>
      </c>
      <c r="BU61" s="939">
        <f t="shared" si="101"/>
        <v>131218677</v>
      </c>
      <c r="BV61" s="939">
        <f t="shared" si="101"/>
        <v>3843660</v>
      </c>
      <c r="BW61" s="940">
        <f t="shared" si="101"/>
        <v>139078718</v>
      </c>
      <c r="BX61" s="941">
        <f t="shared" si="101"/>
        <v>134075044</v>
      </c>
      <c r="BY61" s="939">
        <f t="shared" si="101"/>
        <v>2369349433</v>
      </c>
      <c r="BZ61" s="939">
        <f t="shared" si="101"/>
        <v>2517527383</v>
      </c>
      <c r="CA61" s="939">
        <f t="shared" si="101"/>
        <v>-257467801</v>
      </c>
      <c r="CB61" s="940">
        <f t="shared" si="101"/>
        <v>2323588648</v>
      </c>
      <c r="CC61" s="941">
        <f t="shared" si="101"/>
        <v>2139400310</v>
      </c>
      <c r="CD61" s="939">
        <f t="shared" si="101"/>
        <v>7966321234</v>
      </c>
      <c r="CE61" s="939">
        <f t="shared" si="101"/>
        <v>8508648193</v>
      </c>
      <c r="CF61" s="939">
        <f t="shared" si="101"/>
        <v>-210732601</v>
      </c>
      <c r="CG61" s="939">
        <f t="shared" si="101"/>
        <v>8469299884</v>
      </c>
      <c r="CH61" s="939">
        <f t="shared" si="101"/>
        <v>7865837712</v>
      </c>
    </row>
    <row r="62" spans="1:86" ht="15" customHeight="1">
      <c r="A62" s="326" t="s">
        <v>739</v>
      </c>
      <c r="B62" s="326"/>
      <c r="C62" s="942"/>
      <c r="D62" s="943"/>
      <c r="E62" s="943"/>
      <c r="F62" s="944"/>
      <c r="G62" s="944"/>
      <c r="H62" s="942"/>
      <c r="I62" s="943"/>
      <c r="J62" s="943"/>
      <c r="K62" s="945"/>
      <c r="L62" s="944"/>
      <c r="M62" s="942"/>
      <c r="N62" s="943"/>
      <c r="O62" s="943"/>
      <c r="P62" s="945"/>
      <c r="Q62" s="944"/>
      <c r="R62" s="942"/>
      <c r="S62" s="943"/>
      <c r="T62" s="943"/>
      <c r="U62" s="944"/>
      <c r="V62" s="944"/>
      <c r="W62" s="946"/>
      <c r="X62" s="946"/>
      <c r="Y62" s="946"/>
      <c r="Z62" s="945"/>
      <c r="AA62" s="947"/>
      <c r="AB62" s="946"/>
      <c r="AC62" s="946"/>
      <c r="AD62" s="946"/>
      <c r="AE62" s="945"/>
      <c r="AF62" s="947"/>
      <c r="AG62" s="946"/>
      <c r="AH62" s="946"/>
      <c r="AI62" s="946"/>
      <c r="AJ62" s="945"/>
      <c r="AK62" s="947"/>
      <c r="AL62" s="946"/>
      <c r="AM62" s="946"/>
      <c r="AN62" s="946"/>
      <c r="AO62" s="945"/>
      <c r="AP62" s="947"/>
      <c r="AQ62" s="946"/>
      <c r="AR62" s="946"/>
      <c r="AS62" s="946"/>
      <c r="AT62" s="945"/>
      <c r="AU62" s="947"/>
      <c r="AV62" s="946"/>
      <c r="AW62" s="946"/>
      <c r="AX62" s="946"/>
      <c r="AY62" s="945"/>
      <c r="AZ62" s="947"/>
      <c r="BA62" s="946"/>
      <c r="BB62" s="946"/>
      <c r="BC62" s="946"/>
      <c r="BD62" s="945"/>
      <c r="BE62" s="947"/>
      <c r="BF62" s="946"/>
      <c r="BG62" s="946"/>
      <c r="BH62" s="946"/>
      <c r="BI62" s="945"/>
      <c r="BJ62" s="947"/>
      <c r="BK62" s="946"/>
      <c r="BL62" s="946"/>
      <c r="BM62" s="946"/>
      <c r="BN62" s="945"/>
      <c r="BO62" s="947"/>
      <c r="BP62" s="946"/>
      <c r="BQ62" s="946"/>
      <c r="BR62" s="946"/>
      <c r="BS62" s="945"/>
      <c r="BT62" s="947"/>
      <c r="BU62" s="946"/>
      <c r="BV62" s="946"/>
      <c r="BW62" s="946"/>
      <c r="BX62" s="945"/>
      <c r="BY62" s="947"/>
      <c r="BZ62" s="946"/>
      <c r="CA62" s="946"/>
      <c r="CB62" s="946"/>
      <c r="CC62" s="945"/>
      <c r="CD62" s="948"/>
      <c r="CE62" s="916"/>
      <c r="CF62" s="916"/>
      <c r="CG62" s="930"/>
      <c r="CH62" s="948"/>
    </row>
    <row r="63" spans="1:86" s="634" customFormat="1" ht="27.75" hidden="1" customHeight="1">
      <c r="A63" s="920" t="s">
        <v>740</v>
      </c>
      <c r="B63" s="920"/>
      <c r="C63" s="907"/>
      <c r="D63" s="908"/>
      <c r="E63" s="909">
        <f>SUM(C63+D63)</f>
        <v>0</v>
      </c>
      <c r="F63" s="909"/>
      <c r="G63" s="909"/>
      <c r="H63" s="907"/>
      <c r="I63" s="908"/>
      <c r="J63" s="909">
        <f>SUM(H63+I63)</f>
        <v>0</v>
      </c>
      <c r="K63" s="910"/>
      <c r="L63" s="909"/>
      <c r="M63" s="907"/>
      <c r="N63" s="908"/>
      <c r="O63" s="909">
        <f>SUM(M63+N63)</f>
        <v>0</v>
      </c>
      <c r="P63" s="910"/>
      <c r="Q63" s="909"/>
      <c r="R63" s="907"/>
      <c r="S63" s="908"/>
      <c r="T63" s="909">
        <f>SUM(R63+S63)</f>
        <v>0</v>
      </c>
      <c r="U63" s="909"/>
      <c r="V63" s="909"/>
      <c r="W63" s="912"/>
      <c r="X63" s="913"/>
      <c r="Y63" s="914">
        <f>SUM(W63+X63)</f>
        <v>0</v>
      </c>
      <c r="Z63" s="910"/>
      <c r="AA63" s="914"/>
      <c r="AB63" s="912"/>
      <c r="AC63" s="913"/>
      <c r="AD63" s="914">
        <f>SUM(AB63+AC63)</f>
        <v>0</v>
      </c>
      <c r="AE63" s="910"/>
      <c r="AF63" s="914"/>
      <c r="AG63" s="912"/>
      <c r="AH63" s="913"/>
      <c r="AI63" s="914">
        <f t="shared" ref="AI63:AI69" si="102">SUM(AG63+AH63)</f>
        <v>0</v>
      </c>
      <c r="AJ63" s="910"/>
      <c r="AK63" s="914"/>
      <c r="AL63" s="912"/>
      <c r="AM63" s="913"/>
      <c r="AN63" s="914">
        <f>SUM(AL63+AM63)</f>
        <v>0</v>
      </c>
      <c r="AO63" s="910"/>
      <c r="AP63" s="914"/>
      <c r="AQ63" s="912"/>
      <c r="AR63" s="913"/>
      <c r="AS63" s="914">
        <f>SUM(AQ63+AR63)</f>
        <v>0</v>
      </c>
      <c r="AT63" s="910"/>
      <c r="AU63" s="914"/>
      <c r="AV63" s="912"/>
      <c r="AW63" s="913"/>
      <c r="AX63" s="914">
        <f>SUM(AV63+AW63)</f>
        <v>0</v>
      </c>
      <c r="AY63" s="910"/>
      <c r="AZ63" s="914"/>
      <c r="BA63" s="912"/>
      <c r="BB63" s="913"/>
      <c r="BC63" s="914">
        <f>SUM(BA63+BB63)</f>
        <v>0</v>
      </c>
      <c r="BD63" s="910"/>
      <c r="BE63" s="914"/>
      <c r="BF63" s="912"/>
      <c r="BG63" s="913"/>
      <c r="BH63" s="914">
        <f>SUM(BF63+BG63)</f>
        <v>0</v>
      </c>
      <c r="BI63" s="910"/>
      <c r="BJ63" s="914"/>
      <c r="BK63" s="912"/>
      <c r="BL63" s="913"/>
      <c r="BM63" s="914">
        <f>SUM(BK63+BL63)</f>
        <v>0</v>
      </c>
      <c r="BN63" s="910"/>
      <c r="BO63" s="914"/>
      <c r="BP63" s="912"/>
      <c r="BQ63" s="913"/>
      <c r="BR63" s="914">
        <f t="shared" ref="BR63:BR69" si="103">SUM(BP63+BQ63)</f>
        <v>0</v>
      </c>
      <c r="BS63" s="910"/>
      <c r="BT63" s="914"/>
      <c r="BU63" s="912"/>
      <c r="BV63" s="913"/>
      <c r="BW63" s="914">
        <f>SUM(BU63+BV63)</f>
        <v>0</v>
      </c>
      <c r="BX63" s="910"/>
      <c r="BY63" s="914"/>
      <c r="BZ63" s="912"/>
      <c r="CA63" s="913"/>
      <c r="CB63" s="914">
        <f>SUM(BZ63+CA63)</f>
        <v>0</v>
      </c>
      <c r="CC63" s="910"/>
      <c r="CD63" s="915">
        <f t="shared" ref="CD63:CD76" si="104">SUM(B63+G63+L63+Q63+V63+AA63+AF63+AK63+AP63+AU63+AZ63+BE63+BJ63+BO63+BT63+BY63)</f>
        <v>0</v>
      </c>
      <c r="CE63" s="916">
        <f t="shared" ref="CE63:CE76" si="105">SUM(C63+H63+M63+R63+W63+AB63+AG63+AL63+AQ63+AV63+BA63+BF63+BK63+BP63+BU63+BZ63)</f>
        <v>0</v>
      </c>
      <c r="CF63" s="917">
        <f t="shared" ref="CF63:CF76" si="106">SUM(D63+I63+N63+S63+X63+AC63+AH63+AM63+AR63+AW63+BB63+BG63+BL63+BQ63+BV63+CA63)</f>
        <v>0</v>
      </c>
      <c r="CG63" s="916">
        <f>SUM(CE63+CF63)</f>
        <v>0</v>
      </c>
      <c r="CH63" s="915"/>
    </row>
    <row r="64" spans="1:86" s="634" customFormat="1" ht="15" customHeight="1">
      <c r="A64" s="949" t="s">
        <v>741</v>
      </c>
      <c r="B64" s="949"/>
      <c r="C64" s="921"/>
      <c r="D64" s="922"/>
      <c r="E64" s="909">
        <f>SUM(C64+D64)</f>
        <v>0</v>
      </c>
      <c r="F64" s="909"/>
      <c r="G64" s="909"/>
      <c r="H64" s="921"/>
      <c r="I64" s="922"/>
      <c r="J64" s="909">
        <f>SUM(H64+I64)</f>
        <v>0</v>
      </c>
      <c r="K64" s="910"/>
      <c r="L64" s="909"/>
      <c r="M64" s="921"/>
      <c r="N64" s="922"/>
      <c r="O64" s="909">
        <f>SUM(M64+N64)</f>
        <v>0</v>
      </c>
      <c r="P64" s="910"/>
      <c r="Q64" s="909"/>
      <c r="R64" s="921"/>
      <c r="S64" s="922"/>
      <c r="T64" s="909">
        <f>SUM(R64+S64)</f>
        <v>0</v>
      </c>
      <c r="U64" s="909"/>
      <c r="V64" s="909"/>
      <c r="W64" s="918"/>
      <c r="X64" s="923"/>
      <c r="Y64" s="914">
        <f>SUM(W64+X64)</f>
        <v>0</v>
      </c>
      <c r="Z64" s="910"/>
      <c r="AA64" s="914"/>
      <c r="AB64" s="918"/>
      <c r="AC64" s="923"/>
      <c r="AD64" s="914">
        <f>SUM(AB64+AC64)</f>
        <v>0</v>
      </c>
      <c r="AE64" s="910"/>
      <c r="AF64" s="914"/>
      <c r="AG64" s="918"/>
      <c r="AH64" s="923"/>
      <c r="AI64" s="914">
        <f t="shared" si="102"/>
        <v>0</v>
      </c>
      <c r="AJ64" s="910"/>
      <c r="AK64" s="914"/>
      <c r="AL64" s="918"/>
      <c r="AM64" s="923"/>
      <c r="AN64" s="914">
        <f>SUM(AL64+AM64)</f>
        <v>0</v>
      </c>
      <c r="AO64" s="910"/>
      <c r="AP64" s="914"/>
      <c r="AQ64" s="918"/>
      <c r="AR64" s="923"/>
      <c r="AS64" s="914">
        <f>SUM(AQ64+AR64)</f>
        <v>0</v>
      </c>
      <c r="AT64" s="910"/>
      <c r="AU64" s="914"/>
      <c r="AV64" s="918"/>
      <c r="AW64" s="923"/>
      <c r="AX64" s="914">
        <f>SUM(AV64+AW64)</f>
        <v>0</v>
      </c>
      <c r="AY64" s="910"/>
      <c r="AZ64" s="914"/>
      <c r="BA64" s="918"/>
      <c r="BB64" s="923"/>
      <c r="BC64" s="914">
        <f>SUM(BA64+BB64)</f>
        <v>0</v>
      </c>
      <c r="BD64" s="910"/>
      <c r="BE64" s="914"/>
      <c r="BF64" s="918"/>
      <c r="BG64" s="923"/>
      <c r="BH64" s="914">
        <f>SUM(BF64+BG64)</f>
        <v>0</v>
      </c>
      <c r="BI64" s="910"/>
      <c r="BJ64" s="914"/>
      <c r="BK64" s="918"/>
      <c r="BL64" s="923"/>
      <c r="BM64" s="914">
        <f>SUM(BK64+BL64)</f>
        <v>0</v>
      </c>
      <c r="BN64" s="910"/>
      <c r="BO64" s="914"/>
      <c r="BP64" s="918"/>
      <c r="BQ64" s="923"/>
      <c r="BR64" s="914">
        <f t="shared" si="103"/>
        <v>0</v>
      </c>
      <c r="BS64" s="910"/>
      <c r="BT64" s="914"/>
      <c r="BU64" s="918"/>
      <c r="BV64" s="923"/>
      <c r="BW64" s="914">
        <f>SUM(BU64+BV64)</f>
        <v>0</v>
      </c>
      <c r="BX64" s="910"/>
      <c r="BY64" s="914"/>
      <c r="BZ64" s="918"/>
      <c r="CA64" s="923"/>
      <c r="CB64" s="914">
        <f>SUM(BZ64+CA64)</f>
        <v>0</v>
      </c>
      <c r="CC64" s="910"/>
      <c r="CD64" s="915">
        <f t="shared" si="104"/>
        <v>0</v>
      </c>
      <c r="CE64" s="915">
        <f t="shared" si="105"/>
        <v>0</v>
      </c>
      <c r="CF64" s="950">
        <f t="shared" si="106"/>
        <v>0</v>
      </c>
      <c r="CG64" s="915">
        <f t="shared" ref="CG64:CG76" si="107">SUM(E64+J64+O64+T64+Y64+AD64+AI64+AN64+AS64+AX64+BC64+BH64+BM64+BR64+BW64+CB64)</f>
        <v>0</v>
      </c>
      <c r="CH64" s="915">
        <f t="shared" ref="CH64:CH76" si="108">SUM(F64+K64+P64+U64+Z64+AE64+AJ64+AO64+AT64+AY64+BD64+BI64+BN64+BS64+BX64+CC64)</f>
        <v>0</v>
      </c>
    </row>
    <row r="65" spans="1:86" s="634" customFormat="1" ht="27.75" hidden="1" customHeight="1">
      <c r="A65" s="949" t="s">
        <v>742</v>
      </c>
      <c r="B65" s="949"/>
      <c r="C65" s="921"/>
      <c r="D65" s="922"/>
      <c r="E65" s="909">
        <f>SUM(C65+D65)</f>
        <v>0</v>
      </c>
      <c r="F65" s="909"/>
      <c r="G65" s="909"/>
      <c r="H65" s="921"/>
      <c r="I65" s="922"/>
      <c r="J65" s="909">
        <f>SUM(H65+I65)</f>
        <v>0</v>
      </c>
      <c r="K65" s="910"/>
      <c r="L65" s="909"/>
      <c r="M65" s="921"/>
      <c r="N65" s="922"/>
      <c r="O65" s="909">
        <f>SUM(M65+N65)</f>
        <v>0</v>
      </c>
      <c r="P65" s="910"/>
      <c r="Q65" s="909"/>
      <c r="R65" s="921"/>
      <c r="S65" s="922"/>
      <c r="T65" s="909">
        <f>SUM(R65+S65)</f>
        <v>0</v>
      </c>
      <c r="U65" s="909"/>
      <c r="V65" s="909"/>
      <c r="W65" s="918"/>
      <c r="X65" s="923"/>
      <c r="Y65" s="914">
        <f>SUM(W65+X65)</f>
        <v>0</v>
      </c>
      <c r="Z65" s="910"/>
      <c r="AA65" s="914"/>
      <c r="AB65" s="918"/>
      <c r="AC65" s="923"/>
      <c r="AD65" s="914">
        <f>SUM(AB65+AC65)</f>
        <v>0</v>
      </c>
      <c r="AE65" s="910"/>
      <c r="AF65" s="914"/>
      <c r="AG65" s="918"/>
      <c r="AH65" s="923"/>
      <c r="AI65" s="914">
        <f t="shared" si="102"/>
        <v>0</v>
      </c>
      <c r="AJ65" s="910"/>
      <c r="AK65" s="914"/>
      <c r="AL65" s="918"/>
      <c r="AM65" s="923"/>
      <c r="AN65" s="914">
        <f>SUM(AL65+AM65)</f>
        <v>0</v>
      </c>
      <c r="AO65" s="910"/>
      <c r="AP65" s="914"/>
      <c r="AQ65" s="918"/>
      <c r="AR65" s="923"/>
      <c r="AS65" s="914">
        <f>SUM(AQ65+AR65)</f>
        <v>0</v>
      </c>
      <c r="AT65" s="910"/>
      <c r="AU65" s="914"/>
      <c r="AV65" s="918"/>
      <c r="AW65" s="923"/>
      <c r="AX65" s="914">
        <f>SUM(AV65+AW65)</f>
        <v>0</v>
      </c>
      <c r="AY65" s="910"/>
      <c r="AZ65" s="914"/>
      <c r="BA65" s="918"/>
      <c r="BB65" s="923"/>
      <c r="BC65" s="914">
        <f>SUM(BA65+BB65)</f>
        <v>0</v>
      </c>
      <c r="BD65" s="910"/>
      <c r="BE65" s="914"/>
      <c r="BF65" s="918"/>
      <c r="BG65" s="923"/>
      <c r="BH65" s="914">
        <f>SUM(BF65+BG65)</f>
        <v>0</v>
      </c>
      <c r="BI65" s="910"/>
      <c r="BJ65" s="914"/>
      <c r="BK65" s="918"/>
      <c r="BL65" s="923"/>
      <c r="BM65" s="914">
        <f>SUM(BK65+BL65)</f>
        <v>0</v>
      </c>
      <c r="BN65" s="910"/>
      <c r="BO65" s="914"/>
      <c r="BP65" s="918"/>
      <c r="BQ65" s="923"/>
      <c r="BR65" s="914">
        <f t="shared" si="103"/>
        <v>0</v>
      </c>
      <c r="BS65" s="910"/>
      <c r="BT65" s="914"/>
      <c r="BU65" s="918"/>
      <c r="BV65" s="923"/>
      <c r="BW65" s="914">
        <f>SUM(BU65+BV65)</f>
        <v>0</v>
      </c>
      <c r="BX65" s="910"/>
      <c r="BY65" s="914"/>
      <c r="BZ65" s="918"/>
      <c r="CA65" s="923"/>
      <c r="CB65" s="914">
        <f>SUM(BZ65+CA65)</f>
        <v>0</v>
      </c>
      <c r="CC65" s="910"/>
      <c r="CD65" s="915">
        <f t="shared" si="104"/>
        <v>0</v>
      </c>
      <c r="CE65" s="916">
        <f t="shared" si="105"/>
        <v>0</v>
      </c>
      <c r="CF65" s="917">
        <f t="shared" si="106"/>
        <v>0</v>
      </c>
      <c r="CG65" s="916">
        <f t="shared" si="107"/>
        <v>0</v>
      </c>
      <c r="CH65" s="915">
        <f t="shared" si="108"/>
        <v>0</v>
      </c>
    </row>
    <row r="66" spans="1:86" ht="27.75" hidden="1" customHeight="1">
      <c r="A66" s="380" t="s">
        <v>743</v>
      </c>
      <c r="B66" s="380"/>
      <c r="C66" s="907"/>
      <c r="D66" s="908"/>
      <c r="E66" s="909">
        <f>SUM(C66+D66)</f>
        <v>0</v>
      </c>
      <c r="F66" s="909"/>
      <c r="G66" s="909"/>
      <c r="H66" s="907"/>
      <c r="I66" s="908"/>
      <c r="J66" s="909">
        <f>SUM(H66+I66)</f>
        <v>0</v>
      </c>
      <c r="K66" s="910"/>
      <c r="L66" s="909"/>
      <c r="M66" s="907"/>
      <c r="N66" s="908"/>
      <c r="O66" s="909">
        <f>SUM(M66+N66)</f>
        <v>0</v>
      </c>
      <c r="P66" s="910"/>
      <c r="Q66" s="909"/>
      <c r="R66" s="907"/>
      <c r="S66" s="908"/>
      <c r="T66" s="909">
        <f>SUM(R66+S66)</f>
        <v>0</v>
      </c>
      <c r="U66" s="909"/>
      <c r="V66" s="909"/>
      <c r="W66" s="912"/>
      <c r="X66" s="913"/>
      <c r="Y66" s="914">
        <f>SUM(W66+X66)</f>
        <v>0</v>
      </c>
      <c r="Z66" s="910"/>
      <c r="AA66" s="914"/>
      <c r="AB66" s="912"/>
      <c r="AC66" s="913"/>
      <c r="AD66" s="914">
        <f>SUM(AB66+AC66)</f>
        <v>0</v>
      </c>
      <c r="AE66" s="910"/>
      <c r="AF66" s="914"/>
      <c r="AG66" s="912"/>
      <c r="AH66" s="913"/>
      <c r="AI66" s="914">
        <f t="shared" si="102"/>
        <v>0</v>
      </c>
      <c r="AJ66" s="910"/>
      <c r="AK66" s="914"/>
      <c r="AL66" s="912"/>
      <c r="AM66" s="913"/>
      <c r="AN66" s="914">
        <f>SUM(AL66+AM66)</f>
        <v>0</v>
      </c>
      <c r="AO66" s="910"/>
      <c r="AP66" s="914"/>
      <c r="AQ66" s="912"/>
      <c r="AR66" s="913"/>
      <c r="AS66" s="914">
        <f>SUM(AQ66+AR66)</f>
        <v>0</v>
      </c>
      <c r="AT66" s="910"/>
      <c r="AU66" s="914"/>
      <c r="AV66" s="912"/>
      <c r="AW66" s="913"/>
      <c r="AX66" s="914">
        <f>SUM(AV66+AW66)</f>
        <v>0</v>
      </c>
      <c r="AY66" s="910"/>
      <c r="AZ66" s="914"/>
      <c r="BA66" s="912"/>
      <c r="BB66" s="913"/>
      <c r="BC66" s="914">
        <f>SUM(BA66+BB66)</f>
        <v>0</v>
      </c>
      <c r="BD66" s="910"/>
      <c r="BE66" s="914"/>
      <c r="BF66" s="912"/>
      <c r="BG66" s="913"/>
      <c r="BH66" s="914">
        <f>SUM(BF66+BG66)</f>
        <v>0</v>
      </c>
      <c r="BI66" s="910"/>
      <c r="BJ66" s="914"/>
      <c r="BK66" s="912"/>
      <c r="BL66" s="913"/>
      <c r="BM66" s="914">
        <f>SUM(BK66+BL66)</f>
        <v>0</v>
      </c>
      <c r="BN66" s="910"/>
      <c r="BO66" s="914"/>
      <c r="BP66" s="912"/>
      <c r="BQ66" s="913"/>
      <c r="BR66" s="914">
        <f t="shared" si="103"/>
        <v>0</v>
      </c>
      <c r="BS66" s="910"/>
      <c r="BT66" s="914"/>
      <c r="BU66" s="912"/>
      <c r="BV66" s="913"/>
      <c r="BW66" s="914">
        <f>SUM(BU66+BV66)</f>
        <v>0</v>
      </c>
      <c r="BX66" s="910"/>
      <c r="BY66" s="914"/>
      <c r="BZ66" s="912"/>
      <c r="CA66" s="913"/>
      <c r="CB66" s="914">
        <f>SUM(BZ66+CA66)</f>
        <v>0</v>
      </c>
      <c r="CC66" s="910"/>
      <c r="CD66" s="915">
        <f t="shared" si="104"/>
        <v>0</v>
      </c>
      <c r="CE66" s="916">
        <f t="shared" si="105"/>
        <v>0</v>
      </c>
      <c r="CF66" s="917">
        <f t="shared" si="106"/>
        <v>0</v>
      </c>
      <c r="CG66" s="916">
        <f t="shared" si="107"/>
        <v>0</v>
      </c>
      <c r="CH66" s="915">
        <f t="shared" si="108"/>
        <v>0</v>
      </c>
    </row>
    <row r="67" spans="1:86" ht="15" customHeight="1">
      <c r="A67" s="634" t="s">
        <v>744</v>
      </c>
      <c r="B67" s="907">
        <v>1022528000</v>
      </c>
      <c r="C67" s="907">
        <v>1022528000</v>
      </c>
      <c r="D67" s="908">
        <v>-1327000</v>
      </c>
      <c r="E67" s="909">
        <v>1086764500</v>
      </c>
      <c r="F67" s="909">
        <v>1086764500</v>
      </c>
      <c r="G67" s="909"/>
      <c r="H67" s="907"/>
      <c r="I67" s="908"/>
      <c r="J67" s="909">
        <f>SUM(H67+I67)</f>
        <v>0</v>
      </c>
      <c r="K67" s="910"/>
      <c r="L67" s="909"/>
      <c r="M67" s="907"/>
      <c r="N67" s="908"/>
      <c r="O67" s="909">
        <f>SUM(M67+N67)</f>
        <v>0</v>
      </c>
      <c r="P67" s="910"/>
      <c r="Q67" s="909"/>
      <c r="R67" s="907"/>
      <c r="S67" s="908"/>
      <c r="T67" s="909">
        <f>SUM(R67+S67)</f>
        <v>0</v>
      </c>
      <c r="U67" s="909"/>
      <c r="V67" s="909"/>
      <c r="W67" s="912"/>
      <c r="X67" s="913"/>
      <c r="Y67" s="914">
        <f>SUM(W67+X67)</f>
        <v>0</v>
      </c>
      <c r="Z67" s="910"/>
      <c r="AA67" s="914"/>
      <c r="AB67" s="912"/>
      <c r="AC67" s="913"/>
      <c r="AD67" s="914">
        <f>SUM(AB67+AC67)</f>
        <v>0</v>
      </c>
      <c r="AE67" s="910"/>
      <c r="AF67" s="914"/>
      <c r="AG67" s="912"/>
      <c r="AH67" s="913"/>
      <c r="AI67" s="914">
        <f t="shared" si="102"/>
        <v>0</v>
      </c>
      <c r="AJ67" s="910"/>
      <c r="AK67" s="914"/>
      <c r="AL67" s="912"/>
      <c r="AM67" s="913"/>
      <c r="AN67" s="914">
        <f>SUM(AL67+AM67)</f>
        <v>0</v>
      </c>
      <c r="AO67" s="910"/>
      <c r="AP67" s="914"/>
      <c r="AQ67" s="912"/>
      <c r="AR67" s="913"/>
      <c r="AS67" s="914">
        <f>SUM(AQ67+AR67)</f>
        <v>0</v>
      </c>
      <c r="AT67" s="910"/>
      <c r="AU67" s="914"/>
      <c r="AV67" s="912"/>
      <c r="AW67" s="913"/>
      <c r="AX67" s="914">
        <f>SUM(AV67+AW67)</f>
        <v>0</v>
      </c>
      <c r="AY67" s="910"/>
      <c r="AZ67" s="914"/>
      <c r="BA67" s="912"/>
      <c r="BB67" s="913"/>
      <c r="BC67" s="914">
        <f>SUM(BA67+BB67)</f>
        <v>0</v>
      </c>
      <c r="BD67" s="910"/>
      <c r="BE67" s="914"/>
      <c r="BF67" s="912"/>
      <c r="BG67" s="913"/>
      <c r="BH67" s="914">
        <f>SUM(BF67+BG67)</f>
        <v>0</v>
      </c>
      <c r="BI67" s="910"/>
      <c r="BJ67" s="914"/>
      <c r="BK67" s="912"/>
      <c r="BL67" s="913"/>
      <c r="BM67" s="914">
        <f>SUM(BK67+BL67)</f>
        <v>0</v>
      </c>
      <c r="BN67" s="910"/>
      <c r="BO67" s="914"/>
      <c r="BP67" s="912"/>
      <c r="BQ67" s="913"/>
      <c r="BR67" s="914">
        <f t="shared" si="103"/>
        <v>0</v>
      </c>
      <c r="BS67" s="910"/>
      <c r="BT67" s="914"/>
      <c r="BU67" s="912"/>
      <c r="BV67" s="913"/>
      <c r="BW67" s="914">
        <f>SUM(BU67+BV67)</f>
        <v>0</v>
      </c>
      <c r="BX67" s="910"/>
      <c r="BY67" s="914"/>
      <c r="BZ67" s="912"/>
      <c r="CA67" s="913"/>
      <c r="CB67" s="914">
        <f>SUM(BZ67+CA67)</f>
        <v>0</v>
      </c>
      <c r="CC67" s="910"/>
      <c r="CD67" s="915">
        <f t="shared" si="104"/>
        <v>1022528000</v>
      </c>
      <c r="CE67" s="916">
        <f t="shared" si="105"/>
        <v>1022528000</v>
      </c>
      <c r="CF67" s="917">
        <f t="shared" si="106"/>
        <v>-1327000</v>
      </c>
      <c r="CG67" s="916">
        <f t="shared" si="107"/>
        <v>1086764500</v>
      </c>
      <c r="CH67" s="915">
        <f t="shared" si="108"/>
        <v>1086764500</v>
      </c>
    </row>
    <row r="68" spans="1:86" s="634" customFormat="1" ht="15" customHeight="1">
      <c r="A68" s="920" t="s">
        <v>745</v>
      </c>
      <c r="B68" s="907"/>
      <c r="C68" s="907">
        <v>241000</v>
      </c>
      <c r="D68" s="908">
        <v>1327000</v>
      </c>
      <c r="E68" s="909">
        <v>1635293</v>
      </c>
      <c r="F68" s="909">
        <v>1635293</v>
      </c>
      <c r="G68" s="909"/>
      <c r="H68" s="907"/>
      <c r="I68" s="908"/>
      <c r="J68" s="909">
        <v>18538</v>
      </c>
      <c r="K68" s="910">
        <v>18538</v>
      </c>
      <c r="L68" s="909"/>
      <c r="M68" s="907"/>
      <c r="N68" s="908"/>
      <c r="O68" s="909">
        <v>48108</v>
      </c>
      <c r="P68" s="910">
        <v>48108</v>
      </c>
      <c r="Q68" s="909"/>
      <c r="R68" s="907"/>
      <c r="S68" s="908"/>
      <c r="T68" s="909">
        <v>5620000</v>
      </c>
      <c r="U68" s="909">
        <f>5970000-450000+100000</f>
        <v>5620000</v>
      </c>
      <c r="V68" s="909"/>
      <c r="W68" s="912"/>
      <c r="X68" s="913"/>
      <c r="Y68" s="914">
        <v>69162</v>
      </c>
      <c r="Z68" s="910">
        <v>69162</v>
      </c>
      <c r="AA68" s="914"/>
      <c r="AB68" s="912"/>
      <c r="AC68" s="913"/>
      <c r="AD68" s="914">
        <v>7802</v>
      </c>
      <c r="AE68" s="910">
        <v>7802</v>
      </c>
      <c r="AF68" s="914"/>
      <c r="AG68" s="912"/>
      <c r="AH68" s="913"/>
      <c r="AI68" s="914">
        <f t="shared" si="102"/>
        <v>0</v>
      </c>
      <c r="AJ68" s="910"/>
      <c r="AK68" s="914"/>
      <c r="AL68" s="912"/>
      <c r="AM68" s="913"/>
      <c r="AN68" s="914">
        <v>21730</v>
      </c>
      <c r="AO68" s="910">
        <v>21730</v>
      </c>
      <c r="AP68" s="914"/>
      <c r="AQ68" s="912"/>
      <c r="AR68" s="913"/>
      <c r="AS68" s="914">
        <v>58426</v>
      </c>
      <c r="AT68" s="910">
        <v>58426</v>
      </c>
      <c r="AU68" s="914"/>
      <c r="AV68" s="912"/>
      <c r="AW68" s="913"/>
      <c r="AX68" s="914">
        <v>27082</v>
      </c>
      <c r="AY68" s="910">
        <v>27082</v>
      </c>
      <c r="AZ68" s="914"/>
      <c r="BA68" s="912"/>
      <c r="BB68" s="913"/>
      <c r="BC68" s="914">
        <v>44086</v>
      </c>
      <c r="BD68" s="910">
        <v>44086</v>
      </c>
      <c r="BE68" s="914"/>
      <c r="BF68" s="912"/>
      <c r="BG68" s="913"/>
      <c r="BH68" s="914">
        <v>53166</v>
      </c>
      <c r="BI68" s="910">
        <v>53166</v>
      </c>
      <c r="BJ68" s="914"/>
      <c r="BK68" s="912"/>
      <c r="BL68" s="913"/>
      <c r="BM68" s="914">
        <v>34884</v>
      </c>
      <c r="BN68" s="910">
        <v>34884</v>
      </c>
      <c r="BO68" s="914"/>
      <c r="BP68" s="912"/>
      <c r="BQ68" s="913"/>
      <c r="BR68" s="914">
        <f t="shared" si="103"/>
        <v>0</v>
      </c>
      <c r="BS68" s="910"/>
      <c r="BT68" s="914"/>
      <c r="BU68" s="912"/>
      <c r="BV68" s="913"/>
      <c r="BW68" s="914">
        <v>35654</v>
      </c>
      <c r="BX68" s="910">
        <v>35654</v>
      </c>
      <c r="BY68" s="914">
        <v>2849451</v>
      </c>
      <c r="BZ68" s="912">
        <v>43349231</v>
      </c>
      <c r="CA68" s="913">
        <v>-1580179</v>
      </c>
      <c r="CB68" s="914">
        <v>47836944</v>
      </c>
      <c r="CC68" s="910">
        <v>47836944</v>
      </c>
      <c r="CD68" s="915">
        <f t="shared" si="104"/>
        <v>2849451</v>
      </c>
      <c r="CE68" s="916">
        <f t="shared" si="105"/>
        <v>43590231</v>
      </c>
      <c r="CF68" s="917">
        <f t="shared" si="106"/>
        <v>-253179</v>
      </c>
      <c r="CG68" s="916">
        <f t="shared" si="107"/>
        <v>55510875</v>
      </c>
      <c r="CH68" s="915">
        <f t="shared" si="108"/>
        <v>55510875</v>
      </c>
    </row>
    <row r="69" spans="1:86" s="634" customFormat="1" ht="15" hidden="1" customHeight="1">
      <c r="A69" s="949" t="s">
        <v>746</v>
      </c>
      <c r="B69" s="907"/>
      <c r="C69" s="907"/>
      <c r="D69" s="908"/>
      <c r="E69" s="909">
        <f>SUM(C69+D69)</f>
        <v>0</v>
      </c>
      <c r="F69" s="909"/>
      <c r="G69" s="909"/>
      <c r="H69" s="907"/>
      <c r="I69" s="908"/>
      <c r="J69" s="909">
        <f>SUM(H69+I69)</f>
        <v>0</v>
      </c>
      <c r="K69" s="910"/>
      <c r="L69" s="909"/>
      <c r="M69" s="907"/>
      <c r="N69" s="908"/>
      <c r="O69" s="909">
        <f>SUM(M69+N69)</f>
        <v>0</v>
      </c>
      <c r="P69" s="910"/>
      <c r="Q69" s="909"/>
      <c r="R69" s="907"/>
      <c r="S69" s="908"/>
      <c r="T69" s="909">
        <f>SUM(R69+S69)</f>
        <v>0</v>
      </c>
      <c r="U69" s="909"/>
      <c r="V69" s="909"/>
      <c r="W69" s="912"/>
      <c r="X69" s="913"/>
      <c r="Y69" s="914">
        <f>SUM(W69+X69)</f>
        <v>0</v>
      </c>
      <c r="Z69" s="910"/>
      <c r="AA69" s="914"/>
      <c r="AB69" s="912"/>
      <c r="AC69" s="913"/>
      <c r="AD69" s="914">
        <f>SUM(AB69+AC69)</f>
        <v>0</v>
      </c>
      <c r="AE69" s="910"/>
      <c r="AF69" s="914"/>
      <c r="AG69" s="912"/>
      <c r="AH69" s="913"/>
      <c r="AI69" s="914">
        <f t="shared" si="102"/>
        <v>0</v>
      </c>
      <c r="AJ69" s="910"/>
      <c r="AK69" s="914"/>
      <c r="AL69" s="912"/>
      <c r="AM69" s="913"/>
      <c r="AN69" s="914">
        <f>SUM(AL69+AM69)</f>
        <v>0</v>
      </c>
      <c r="AO69" s="910"/>
      <c r="AP69" s="914"/>
      <c r="AQ69" s="912"/>
      <c r="AR69" s="913"/>
      <c r="AS69" s="914">
        <f>SUM(AQ69+AR69)</f>
        <v>0</v>
      </c>
      <c r="AT69" s="910"/>
      <c r="AU69" s="914"/>
      <c r="AV69" s="912"/>
      <c r="AW69" s="913"/>
      <c r="AX69" s="914">
        <f>SUM(AV69+AW69)</f>
        <v>0</v>
      </c>
      <c r="AY69" s="910"/>
      <c r="AZ69" s="914"/>
      <c r="BA69" s="912"/>
      <c r="BB69" s="913"/>
      <c r="BC69" s="914">
        <f>SUM(BA69+BB69)</f>
        <v>0</v>
      </c>
      <c r="BD69" s="910"/>
      <c r="BE69" s="914"/>
      <c r="BF69" s="912"/>
      <c r="BG69" s="913"/>
      <c r="BH69" s="914">
        <f>SUM(BF69+BG69)</f>
        <v>0</v>
      </c>
      <c r="BI69" s="910"/>
      <c r="BJ69" s="914"/>
      <c r="BK69" s="912"/>
      <c r="BL69" s="913"/>
      <c r="BM69" s="914">
        <f>SUM(BK69+BL69)</f>
        <v>0</v>
      </c>
      <c r="BN69" s="910"/>
      <c r="BO69" s="914"/>
      <c r="BP69" s="912"/>
      <c r="BQ69" s="913"/>
      <c r="BR69" s="914">
        <f t="shared" si="103"/>
        <v>0</v>
      </c>
      <c r="BS69" s="910"/>
      <c r="BT69" s="914"/>
      <c r="BU69" s="912"/>
      <c r="BV69" s="913"/>
      <c r="BW69" s="914">
        <f>SUM(BU69+BV69)</f>
        <v>0</v>
      </c>
      <c r="BX69" s="910"/>
      <c r="BY69" s="914"/>
      <c r="BZ69" s="912"/>
      <c r="CA69" s="913"/>
      <c r="CB69" s="914">
        <f>SUM(BZ69+CA69)</f>
        <v>0</v>
      </c>
      <c r="CC69" s="910"/>
      <c r="CD69" s="915">
        <f t="shared" si="104"/>
        <v>0</v>
      </c>
      <c r="CE69" s="916">
        <f t="shared" si="105"/>
        <v>0</v>
      </c>
      <c r="CF69" s="917">
        <f t="shared" si="106"/>
        <v>0</v>
      </c>
      <c r="CG69" s="916">
        <f t="shared" si="107"/>
        <v>0</v>
      </c>
      <c r="CH69" s="915">
        <f t="shared" si="108"/>
        <v>0</v>
      </c>
    </row>
    <row r="70" spans="1:86" s="634" customFormat="1" ht="27.75" hidden="1" customHeight="1">
      <c r="A70" s="949" t="s">
        <v>747</v>
      </c>
      <c r="B70" s="907"/>
      <c r="C70" s="907"/>
      <c r="D70" s="908"/>
      <c r="E70" s="909"/>
      <c r="F70" s="909"/>
      <c r="G70" s="907"/>
      <c r="H70" s="907"/>
      <c r="I70" s="908"/>
      <c r="J70" s="909"/>
      <c r="K70" s="910"/>
      <c r="L70" s="907"/>
      <c r="M70" s="907"/>
      <c r="N70" s="908"/>
      <c r="O70" s="909"/>
      <c r="P70" s="910"/>
      <c r="Q70" s="907"/>
      <c r="R70" s="907"/>
      <c r="S70" s="908"/>
      <c r="T70" s="909"/>
      <c r="U70" s="909"/>
      <c r="V70" s="912"/>
      <c r="W70" s="912"/>
      <c r="X70" s="913"/>
      <c r="Y70" s="914"/>
      <c r="Z70" s="910"/>
      <c r="AA70" s="912"/>
      <c r="AB70" s="912"/>
      <c r="AC70" s="913"/>
      <c r="AD70" s="914"/>
      <c r="AE70" s="910"/>
      <c r="AF70" s="914"/>
      <c r="AG70" s="912"/>
      <c r="AH70" s="913"/>
      <c r="AI70" s="914"/>
      <c r="AJ70" s="910"/>
      <c r="AK70" s="912"/>
      <c r="AL70" s="912"/>
      <c r="AM70" s="913"/>
      <c r="AN70" s="914"/>
      <c r="AO70" s="910"/>
      <c r="AP70" s="912"/>
      <c r="AQ70" s="912"/>
      <c r="AR70" s="913"/>
      <c r="AS70" s="914"/>
      <c r="AT70" s="910"/>
      <c r="AU70" s="912"/>
      <c r="AV70" s="912"/>
      <c r="AW70" s="913"/>
      <c r="AX70" s="914"/>
      <c r="AY70" s="910"/>
      <c r="AZ70" s="914"/>
      <c r="BA70" s="912"/>
      <c r="BB70" s="913"/>
      <c r="BC70" s="914"/>
      <c r="BD70" s="910"/>
      <c r="BE70" s="912"/>
      <c r="BF70" s="912"/>
      <c r="BG70" s="913"/>
      <c r="BH70" s="914"/>
      <c r="BI70" s="910"/>
      <c r="BJ70" s="912"/>
      <c r="BK70" s="912"/>
      <c r="BL70" s="913"/>
      <c r="BM70" s="914"/>
      <c r="BN70" s="910"/>
      <c r="BO70" s="912"/>
      <c r="BP70" s="912"/>
      <c r="BQ70" s="913"/>
      <c r="BR70" s="914"/>
      <c r="BS70" s="910"/>
      <c r="BT70" s="914"/>
      <c r="BU70" s="912"/>
      <c r="BV70" s="913"/>
      <c r="BW70" s="914"/>
      <c r="BX70" s="910"/>
      <c r="BY70" s="912"/>
      <c r="BZ70" s="912"/>
      <c r="CA70" s="913"/>
      <c r="CB70" s="914"/>
      <c r="CC70" s="910"/>
      <c r="CD70" s="915">
        <f t="shared" si="104"/>
        <v>0</v>
      </c>
      <c r="CE70" s="916">
        <f t="shared" si="105"/>
        <v>0</v>
      </c>
      <c r="CF70" s="917">
        <f t="shared" si="106"/>
        <v>0</v>
      </c>
      <c r="CG70" s="916">
        <f t="shared" si="107"/>
        <v>0</v>
      </c>
      <c r="CH70" s="915">
        <f t="shared" si="108"/>
        <v>0</v>
      </c>
    </row>
    <row r="71" spans="1:86" s="634" customFormat="1" ht="15" customHeight="1">
      <c r="A71" s="920" t="s">
        <v>748</v>
      </c>
      <c r="B71" s="920"/>
      <c r="C71" s="907"/>
      <c r="D71" s="908"/>
      <c r="E71" s="909">
        <f>SUM(C71+D71)</f>
        <v>0</v>
      </c>
      <c r="F71" s="909"/>
      <c r="G71" s="909"/>
      <c r="H71" s="907"/>
      <c r="I71" s="908"/>
      <c r="J71" s="909">
        <f>SUM(H71+I71)</f>
        <v>0</v>
      </c>
      <c r="K71" s="910"/>
      <c r="L71" s="907">
        <v>79091195</v>
      </c>
      <c r="M71" s="907">
        <v>79091195</v>
      </c>
      <c r="N71" s="908"/>
      <c r="O71" s="909">
        <v>50322380</v>
      </c>
      <c r="P71" s="910">
        <f>39634632+10687748</f>
        <v>50322380</v>
      </c>
      <c r="Q71" s="907">
        <v>12700000</v>
      </c>
      <c r="R71" s="907">
        <v>12700000</v>
      </c>
      <c r="S71" s="908">
        <v>-4303575</v>
      </c>
      <c r="T71" s="909">
        <v>16144793</v>
      </c>
      <c r="U71" s="909">
        <v>12712434</v>
      </c>
      <c r="V71" s="912">
        <v>3561518</v>
      </c>
      <c r="W71" s="912">
        <v>3561518</v>
      </c>
      <c r="X71" s="913"/>
      <c r="Y71" s="914">
        <v>2847475</v>
      </c>
      <c r="Z71" s="910">
        <f>2242106+605369</f>
        <v>2847475</v>
      </c>
      <c r="AA71" s="912">
        <v>5237653</v>
      </c>
      <c r="AB71" s="912">
        <v>5237653</v>
      </c>
      <c r="AC71" s="913"/>
      <c r="AD71" s="914">
        <v>4284415</v>
      </c>
      <c r="AE71" s="910">
        <f>3373555+910860</f>
        <v>4284415</v>
      </c>
      <c r="AF71" s="912"/>
      <c r="AG71" s="912"/>
      <c r="AH71" s="913"/>
      <c r="AI71" s="914">
        <f>SUM(AG71+AH71)</f>
        <v>0</v>
      </c>
      <c r="AJ71" s="910"/>
      <c r="AK71" s="912"/>
      <c r="AL71" s="912"/>
      <c r="AM71" s="913"/>
      <c r="AN71" s="914">
        <f>SUM(AL71+AM71)</f>
        <v>0</v>
      </c>
      <c r="AO71" s="910"/>
      <c r="AP71" s="912">
        <v>3980552</v>
      </c>
      <c r="AQ71" s="912">
        <v>3980552</v>
      </c>
      <c r="AR71" s="913"/>
      <c r="AS71" s="914">
        <v>3766890</v>
      </c>
      <c r="AT71" s="910">
        <f>2966058+800832</f>
        <v>3766890</v>
      </c>
      <c r="AU71" s="912">
        <v>2199793</v>
      </c>
      <c r="AV71" s="912">
        <v>2199793</v>
      </c>
      <c r="AW71" s="913"/>
      <c r="AX71" s="914">
        <v>1923000</v>
      </c>
      <c r="AY71" s="910">
        <f>1514173+408827</f>
        <v>1923000</v>
      </c>
      <c r="AZ71" s="912"/>
      <c r="BA71" s="912"/>
      <c r="BB71" s="913"/>
      <c r="BC71" s="914">
        <f>SUM(BA71+BB71)</f>
        <v>0</v>
      </c>
      <c r="BD71" s="910"/>
      <c r="BE71" s="912">
        <v>2828344</v>
      </c>
      <c r="BF71" s="912">
        <v>2828344</v>
      </c>
      <c r="BG71" s="913"/>
      <c r="BH71" s="914">
        <v>1816020</v>
      </c>
      <c r="BI71" s="910">
        <f>1429939+386081</f>
        <v>1816020</v>
      </c>
      <c r="BJ71" s="914"/>
      <c r="BK71" s="912"/>
      <c r="BL71" s="913"/>
      <c r="BM71" s="914">
        <f>SUM(BK71+BL71)</f>
        <v>0</v>
      </c>
      <c r="BN71" s="910"/>
      <c r="BO71" s="912">
        <v>2972499</v>
      </c>
      <c r="BP71" s="912">
        <v>2972499</v>
      </c>
      <c r="BQ71" s="913"/>
      <c r="BR71" s="914">
        <v>1852308</v>
      </c>
      <c r="BS71" s="910">
        <f>1458509+393799</f>
        <v>1852308</v>
      </c>
      <c r="BT71" s="912">
        <v>6291809</v>
      </c>
      <c r="BU71" s="912">
        <v>6291809</v>
      </c>
      <c r="BV71" s="913"/>
      <c r="BW71" s="914">
        <v>5035410</v>
      </c>
      <c r="BX71" s="910">
        <f>3964894+1070516</f>
        <v>5035410</v>
      </c>
      <c r="BY71" s="912">
        <v>256327910</v>
      </c>
      <c r="BZ71" s="912">
        <v>256327910</v>
      </c>
      <c r="CA71" s="913">
        <v>2773575</v>
      </c>
      <c r="CB71" s="914">
        <v>247314460</v>
      </c>
      <c r="CC71" s="910">
        <f>194735819+52578641</f>
        <v>247314460</v>
      </c>
      <c r="CD71" s="915">
        <f t="shared" si="104"/>
        <v>375191273</v>
      </c>
      <c r="CE71" s="916">
        <f t="shared" si="105"/>
        <v>375191273</v>
      </c>
      <c r="CF71" s="917">
        <f t="shared" si="106"/>
        <v>-1530000</v>
      </c>
      <c r="CG71" s="916">
        <f t="shared" si="107"/>
        <v>335307151</v>
      </c>
      <c r="CH71" s="915">
        <f t="shared" si="108"/>
        <v>331874792</v>
      </c>
    </row>
    <row r="72" spans="1:86" s="634" customFormat="1" ht="15" customHeight="1">
      <c r="A72" s="920" t="s">
        <v>749</v>
      </c>
      <c r="B72" s="907"/>
      <c r="C72" s="907"/>
      <c r="D72" s="908"/>
      <c r="E72" s="909">
        <f>SUM(C72+D72)</f>
        <v>0</v>
      </c>
      <c r="F72" s="909"/>
      <c r="G72" s="909"/>
      <c r="H72" s="907"/>
      <c r="I72" s="908"/>
      <c r="J72" s="909">
        <f>SUM(H72+I72)</f>
        <v>0</v>
      </c>
      <c r="K72" s="910"/>
      <c r="L72" s="907"/>
      <c r="M72" s="907"/>
      <c r="N72" s="908"/>
      <c r="O72" s="909">
        <f>SUM(M72+N72)</f>
        <v>0</v>
      </c>
      <c r="P72" s="910"/>
      <c r="Q72" s="907"/>
      <c r="R72" s="907"/>
      <c r="S72" s="908"/>
      <c r="T72" s="909">
        <f>SUM(R72+S72)</f>
        <v>0</v>
      </c>
      <c r="U72" s="909">
        <v>91402576</v>
      </c>
      <c r="V72" s="912"/>
      <c r="W72" s="912"/>
      <c r="X72" s="913"/>
      <c r="Y72" s="914">
        <f>SUM(W72+X72)</f>
        <v>0</v>
      </c>
      <c r="Z72" s="910"/>
      <c r="AA72" s="912"/>
      <c r="AB72" s="912"/>
      <c r="AC72" s="913"/>
      <c r="AD72" s="914">
        <f>SUM(AB72+AC72)</f>
        <v>0</v>
      </c>
      <c r="AE72" s="910"/>
      <c r="AF72" s="912"/>
      <c r="AG72" s="912"/>
      <c r="AH72" s="913"/>
      <c r="AI72" s="914">
        <f>SUM(AG72+AH72)</f>
        <v>0</v>
      </c>
      <c r="AJ72" s="910"/>
      <c r="AK72" s="912"/>
      <c r="AL72" s="912"/>
      <c r="AM72" s="913"/>
      <c r="AN72" s="914">
        <f>SUM(AL72+AM72)</f>
        <v>0</v>
      </c>
      <c r="AO72" s="910"/>
      <c r="AP72" s="912"/>
      <c r="AQ72" s="912"/>
      <c r="AR72" s="913"/>
      <c r="AS72" s="914">
        <f>SUM(AQ72+AR72)</f>
        <v>0</v>
      </c>
      <c r="AT72" s="910"/>
      <c r="AU72" s="912"/>
      <c r="AV72" s="912"/>
      <c r="AW72" s="913"/>
      <c r="AX72" s="914">
        <f>SUM(AV72+AW72)</f>
        <v>0</v>
      </c>
      <c r="AY72" s="910"/>
      <c r="AZ72" s="912"/>
      <c r="BA72" s="912"/>
      <c r="BB72" s="913"/>
      <c r="BC72" s="914">
        <f>SUM(BA72+BB72)</f>
        <v>0</v>
      </c>
      <c r="BD72" s="910"/>
      <c r="BE72" s="912"/>
      <c r="BF72" s="912"/>
      <c r="BG72" s="913"/>
      <c r="BH72" s="914">
        <f>SUM(BF72+BG72)</f>
        <v>0</v>
      </c>
      <c r="BI72" s="910"/>
      <c r="BJ72" s="914"/>
      <c r="BK72" s="912"/>
      <c r="BL72" s="913"/>
      <c r="BM72" s="914">
        <f>SUM(BK72+BL72)</f>
        <v>0</v>
      </c>
      <c r="BN72" s="910"/>
      <c r="BO72" s="912"/>
      <c r="BP72" s="912"/>
      <c r="BQ72" s="913"/>
      <c r="BR72" s="914">
        <f>SUM(BP72+BQ72)</f>
        <v>0</v>
      </c>
      <c r="BS72" s="910"/>
      <c r="BT72" s="912"/>
      <c r="BU72" s="912"/>
      <c r="BV72" s="913"/>
      <c r="BW72" s="914">
        <f>SUM(BU72+BV72)</f>
        <v>0</v>
      </c>
      <c r="BX72" s="910"/>
      <c r="BY72" s="912"/>
      <c r="BZ72" s="912"/>
      <c r="CA72" s="913"/>
      <c r="CB72" s="914">
        <f>SUM(BZ72+CA72)</f>
        <v>0</v>
      </c>
      <c r="CC72" s="910"/>
      <c r="CD72" s="915">
        <f t="shared" si="104"/>
        <v>0</v>
      </c>
      <c r="CE72" s="916">
        <f t="shared" si="105"/>
        <v>0</v>
      </c>
      <c r="CF72" s="917">
        <f t="shared" si="106"/>
        <v>0</v>
      </c>
      <c r="CG72" s="916">
        <f t="shared" si="107"/>
        <v>0</v>
      </c>
      <c r="CH72" s="915">
        <f t="shared" si="108"/>
        <v>91402576</v>
      </c>
    </row>
    <row r="73" spans="1:86" s="634" customFormat="1" ht="15" customHeight="1">
      <c r="A73" s="949" t="s">
        <v>750</v>
      </c>
      <c r="B73" s="907">
        <v>98168000</v>
      </c>
      <c r="C73" s="907">
        <v>98168000</v>
      </c>
      <c r="D73" s="908"/>
      <c r="E73" s="909">
        <v>103081955</v>
      </c>
      <c r="F73" s="909">
        <v>103081967</v>
      </c>
      <c r="G73" s="907">
        <v>15484460</v>
      </c>
      <c r="H73" s="907">
        <v>15484460</v>
      </c>
      <c r="I73" s="908"/>
      <c r="J73" s="909">
        <v>22289884</v>
      </c>
      <c r="K73" s="910">
        <v>22289884</v>
      </c>
      <c r="L73" s="907">
        <v>22588503</v>
      </c>
      <c r="M73" s="907">
        <v>22588503</v>
      </c>
      <c r="N73" s="908">
        <v>504499</v>
      </c>
      <c r="O73" s="909">
        <v>28016293</v>
      </c>
      <c r="P73" s="910">
        <v>28016293</v>
      </c>
      <c r="Q73" s="907">
        <v>117709100</v>
      </c>
      <c r="R73" s="907">
        <v>117709100</v>
      </c>
      <c r="S73" s="908"/>
      <c r="T73" s="909">
        <v>138492149</v>
      </c>
      <c r="U73" s="909">
        <f>49388067+450000</f>
        <v>49838067</v>
      </c>
      <c r="V73" s="912">
        <v>88000</v>
      </c>
      <c r="W73" s="912">
        <v>88000</v>
      </c>
      <c r="X73" s="913">
        <v>418481</v>
      </c>
      <c r="Y73" s="914">
        <v>1260594</v>
      </c>
      <c r="Z73" s="910">
        <v>1260594</v>
      </c>
      <c r="AA73" s="912">
        <v>8587000</v>
      </c>
      <c r="AB73" s="912">
        <v>8587000</v>
      </c>
      <c r="AC73" s="913"/>
      <c r="AD73" s="914">
        <v>10069628</v>
      </c>
      <c r="AE73" s="910">
        <v>10069628</v>
      </c>
      <c r="AF73" s="914">
        <v>97500</v>
      </c>
      <c r="AG73" s="912">
        <v>97500</v>
      </c>
      <c r="AH73" s="913"/>
      <c r="AI73" s="914">
        <v>574193</v>
      </c>
      <c r="AJ73" s="910">
        <v>574193</v>
      </c>
      <c r="AK73" s="912">
        <v>122000</v>
      </c>
      <c r="AL73" s="912">
        <v>122000</v>
      </c>
      <c r="AM73" s="913"/>
      <c r="AN73" s="914">
        <v>203608</v>
      </c>
      <c r="AO73" s="910">
        <v>203608</v>
      </c>
      <c r="AP73" s="912">
        <v>88500</v>
      </c>
      <c r="AQ73" s="912">
        <v>88500</v>
      </c>
      <c r="AR73" s="913">
        <v>516150</v>
      </c>
      <c r="AS73" s="914">
        <v>1348804</v>
      </c>
      <c r="AT73" s="910">
        <v>1348804</v>
      </c>
      <c r="AU73" s="912">
        <v>58000</v>
      </c>
      <c r="AV73" s="912">
        <v>58000</v>
      </c>
      <c r="AW73" s="913">
        <v>354323</v>
      </c>
      <c r="AX73" s="914">
        <v>769249</v>
      </c>
      <c r="AY73" s="910">
        <v>769249</v>
      </c>
      <c r="AZ73" s="914">
        <v>35000</v>
      </c>
      <c r="BA73" s="912">
        <v>35000</v>
      </c>
      <c r="BB73" s="913"/>
      <c r="BC73" s="914">
        <v>66004</v>
      </c>
      <c r="BD73" s="910">
        <v>66004</v>
      </c>
      <c r="BE73" s="912">
        <v>16000</v>
      </c>
      <c r="BF73" s="912">
        <v>16000</v>
      </c>
      <c r="BG73" s="913">
        <v>390065</v>
      </c>
      <c r="BH73" s="914">
        <v>908447</v>
      </c>
      <c r="BI73" s="910">
        <v>908447</v>
      </c>
      <c r="BJ73" s="912">
        <v>5399000</v>
      </c>
      <c r="BK73" s="912">
        <v>5399000</v>
      </c>
      <c r="BL73" s="913"/>
      <c r="BM73" s="914">
        <v>4498240</v>
      </c>
      <c r="BN73" s="910">
        <v>4498240</v>
      </c>
      <c r="BO73" s="912">
        <v>448000</v>
      </c>
      <c r="BP73" s="912">
        <v>448000</v>
      </c>
      <c r="BQ73" s="913">
        <v>199563</v>
      </c>
      <c r="BR73" s="914">
        <v>1538438</v>
      </c>
      <c r="BS73" s="910">
        <v>1538438</v>
      </c>
      <c r="BT73" s="914">
        <v>1063000</v>
      </c>
      <c r="BU73" s="912">
        <v>1063000</v>
      </c>
      <c r="BV73" s="913"/>
      <c r="BW73" s="914">
        <v>1281313</v>
      </c>
      <c r="BX73" s="910">
        <v>1281313</v>
      </c>
      <c r="BY73" s="912">
        <v>66440000</v>
      </c>
      <c r="BZ73" s="912">
        <v>66440000</v>
      </c>
      <c r="CA73" s="913"/>
      <c r="CB73" s="914">
        <v>86512641</v>
      </c>
      <c r="CC73" s="910">
        <v>86507641</v>
      </c>
      <c r="CD73" s="915">
        <f t="shared" si="104"/>
        <v>336392063</v>
      </c>
      <c r="CE73" s="916">
        <f t="shared" si="105"/>
        <v>336392063</v>
      </c>
      <c r="CF73" s="917">
        <f t="shared" si="106"/>
        <v>2383081</v>
      </c>
      <c r="CG73" s="916">
        <f t="shared" si="107"/>
        <v>400911440</v>
      </c>
      <c r="CH73" s="915">
        <f t="shared" si="108"/>
        <v>312252370</v>
      </c>
    </row>
    <row r="74" spans="1:86" s="634" customFormat="1" ht="15" hidden="1" customHeight="1">
      <c r="A74" s="949" t="s">
        <v>751</v>
      </c>
      <c r="B74" s="949"/>
      <c r="C74" s="907"/>
      <c r="D74" s="908"/>
      <c r="E74" s="909">
        <f>SUM(C74+D74)</f>
        <v>0</v>
      </c>
      <c r="F74" s="909"/>
      <c r="G74" s="909"/>
      <c r="H74" s="907"/>
      <c r="I74" s="908"/>
      <c r="J74" s="909">
        <f>SUM(H74+I74)</f>
        <v>0</v>
      </c>
      <c r="K74" s="910"/>
      <c r="L74" s="909"/>
      <c r="M74" s="907"/>
      <c r="N74" s="908"/>
      <c r="O74" s="909">
        <f>SUM(M74+N74)</f>
        <v>0</v>
      </c>
      <c r="P74" s="910"/>
      <c r="Q74" s="909"/>
      <c r="R74" s="907"/>
      <c r="S74" s="908"/>
      <c r="T74" s="909">
        <f>SUM(R74+S74)</f>
        <v>0</v>
      </c>
      <c r="U74" s="909"/>
      <c r="V74" s="909"/>
      <c r="W74" s="912"/>
      <c r="X74" s="913"/>
      <c r="Y74" s="914">
        <f>SUM(W74+X74)</f>
        <v>0</v>
      </c>
      <c r="Z74" s="910"/>
      <c r="AA74" s="914"/>
      <c r="AB74" s="912"/>
      <c r="AC74" s="913"/>
      <c r="AD74" s="914">
        <f>SUM(AB74+AC74)</f>
        <v>0</v>
      </c>
      <c r="AE74" s="910"/>
      <c r="AF74" s="914"/>
      <c r="AG74" s="912"/>
      <c r="AH74" s="913"/>
      <c r="AI74" s="914">
        <f>SUM(AG74+AH74)</f>
        <v>0</v>
      </c>
      <c r="AJ74" s="910"/>
      <c r="AK74" s="914"/>
      <c r="AL74" s="912"/>
      <c r="AM74" s="913"/>
      <c r="AN74" s="914">
        <f>SUM(AL74+AM74)</f>
        <v>0</v>
      </c>
      <c r="AO74" s="910"/>
      <c r="AP74" s="914"/>
      <c r="AQ74" s="912"/>
      <c r="AR74" s="913"/>
      <c r="AS74" s="914">
        <f>SUM(AQ74+AR74)</f>
        <v>0</v>
      </c>
      <c r="AT74" s="910"/>
      <c r="AU74" s="914"/>
      <c r="AV74" s="912"/>
      <c r="AW74" s="913"/>
      <c r="AX74" s="914">
        <f>SUM(AV74+AW74)</f>
        <v>0</v>
      </c>
      <c r="AY74" s="910"/>
      <c r="AZ74" s="914"/>
      <c r="BA74" s="912"/>
      <c r="BB74" s="913"/>
      <c r="BC74" s="914">
        <f>SUM(BA74+BB74)</f>
        <v>0</v>
      </c>
      <c r="BD74" s="910"/>
      <c r="BE74" s="914"/>
      <c r="BF74" s="912"/>
      <c r="BG74" s="913"/>
      <c r="BH74" s="914">
        <f>SUM(BF74+BG74)</f>
        <v>0</v>
      </c>
      <c r="BI74" s="910"/>
      <c r="BJ74" s="914"/>
      <c r="BK74" s="912"/>
      <c r="BL74" s="913"/>
      <c r="BM74" s="914">
        <f>SUM(BK74+BL74)</f>
        <v>0</v>
      </c>
      <c r="BN74" s="910"/>
      <c r="BO74" s="914"/>
      <c r="BP74" s="912"/>
      <c r="BQ74" s="913"/>
      <c r="BR74" s="914">
        <f>SUM(BP74+BQ74)</f>
        <v>0</v>
      </c>
      <c r="BS74" s="910"/>
      <c r="BT74" s="914"/>
      <c r="BU74" s="912"/>
      <c r="BV74" s="913"/>
      <c r="BW74" s="914">
        <f>SUM(BU74+BV74)</f>
        <v>0</v>
      </c>
      <c r="BX74" s="910"/>
      <c r="BY74" s="914"/>
      <c r="BZ74" s="912"/>
      <c r="CA74" s="913"/>
      <c r="CB74" s="914">
        <f>SUM(BZ74+CA74)</f>
        <v>0</v>
      </c>
      <c r="CC74" s="910"/>
      <c r="CD74" s="915">
        <f t="shared" si="104"/>
        <v>0</v>
      </c>
      <c r="CE74" s="916">
        <f t="shared" si="105"/>
        <v>0</v>
      </c>
      <c r="CF74" s="917">
        <f t="shared" si="106"/>
        <v>0</v>
      </c>
      <c r="CG74" s="916">
        <f t="shared" si="107"/>
        <v>0</v>
      </c>
      <c r="CH74" s="915">
        <f t="shared" si="108"/>
        <v>0</v>
      </c>
    </row>
    <row r="75" spans="1:86" ht="15" customHeight="1">
      <c r="A75" s="634" t="s">
        <v>752</v>
      </c>
      <c r="B75" s="634"/>
      <c r="C75" s="907"/>
      <c r="D75" s="908"/>
      <c r="E75" s="909">
        <f>SUM(C75+D75)</f>
        <v>0</v>
      </c>
      <c r="F75" s="909"/>
      <c r="G75" s="909"/>
      <c r="H75" s="907"/>
      <c r="I75" s="908"/>
      <c r="J75" s="909">
        <f>SUM(H75+I75)</f>
        <v>0</v>
      </c>
      <c r="K75" s="910"/>
      <c r="L75" s="909"/>
      <c r="M75" s="907"/>
      <c r="N75" s="908"/>
      <c r="O75" s="909">
        <f>SUM(M75+N75)</f>
        <v>0</v>
      </c>
      <c r="P75" s="910"/>
      <c r="Q75" s="909"/>
      <c r="R75" s="907"/>
      <c r="S75" s="908"/>
      <c r="T75" s="909">
        <f>SUM(R75+S75)</f>
        <v>0</v>
      </c>
      <c r="U75" s="909"/>
      <c r="V75" s="909"/>
      <c r="W75" s="912"/>
      <c r="X75" s="913"/>
      <c r="Y75" s="914"/>
      <c r="Z75" s="910"/>
      <c r="AA75" s="914"/>
      <c r="AB75" s="912"/>
      <c r="AC75" s="913"/>
      <c r="AD75" s="914">
        <f>SUM(AB75+AC75)</f>
        <v>0</v>
      </c>
      <c r="AE75" s="910"/>
      <c r="AF75" s="914"/>
      <c r="AG75" s="912"/>
      <c r="AH75" s="913"/>
      <c r="AI75" s="914">
        <f>SUM(AG75+AH75)</f>
        <v>0</v>
      </c>
      <c r="AJ75" s="910"/>
      <c r="AK75" s="914"/>
      <c r="AL75" s="912"/>
      <c r="AM75" s="913"/>
      <c r="AN75" s="914">
        <f>SUM(AL75+AM75)</f>
        <v>0</v>
      </c>
      <c r="AO75" s="910"/>
      <c r="AP75" s="914"/>
      <c r="AQ75" s="912"/>
      <c r="AR75" s="913"/>
      <c r="AS75" s="914">
        <f>SUM(AQ75+AR75)</f>
        <v>0</v>
      </c>
      <c r="AT75" s="910"/>
      <c r="AU75" s="914"/>
      <c r="AV75" s="912"/>
      <c r="AW75" s="913"/>
      <c r="AX75" s="914">
        <f>SUM(AV75+AW75)</f>
        <v>0</v>
      </c>
      <c r="AY75" s="910"/>
      <c r="AZ75" s="914"/>
      <c r="BA75" s="912"/>
      <c r="BB75" s="913"/>
      <c r="BC75" s="914">
        <f>SUM(BA75+BB75)</f>
        <v>0</v>
      </c>
      <c r="BD75" s="910"/>
      <c r="BE75" s="914"/>
      <c r="BF75" s="912"/>
      <c r="BG75" s="913"/>
      <c r="BH75" s="914">
        <f>SUM(BF75+BG75)</f>
        <v>0</v>
      </c>
      <c r="BI75" s="910"/>
      <c r="BJ75" s="914"/>
      <c r="BK75" s="912"/>
      <c r="BL75" s="913"/>
      <c r="BM75" s="914">
        <f>SUM(BK75+BL75)</f>
        <v>0</v>
      </c>
      <c r="BN75" s="910"/>
      <c r="BO75" s="914"/>
      <c r="BP75" s="912"/>
      <c r="BQ75" s="913"/>
      <c r="BR75" s="914">
        <f>SUM(BP75+BQ75)</f>
        <v>0</v>
      </c>
      <c r="BS75" s="910"/>
      <c r="BT75" s="914"/>
      <c r="BU75" s="912"/>
      <c r="BV75" s="913"/>
      <c r="BW75" s="914">
        <f>SUM(BU75+BV75)</f>
        <v>0</v>
      </c>
      <c r="BX75" s="910"/>
      <c r="BY75" s="914"/>
      <c r="BZ75" s="912"/>
      <c r="CA75" s="913"/>
      <c r="CB75" s="914">
        <f>SUM(BZ75+CA75)</f>
        <v>0</v>
      </c>
      <c r="CC75" s="910"/>
      <c r="CD75" s="915">
        <f t="shared" si="104"/>
        <v>0</v>
      </c>
      <c r="CE75" s="916">
        <f t="shared" si="105"/>
        <v>0</v>
      </c>
      <c r="CF75" s="917">
        <f t="shared" si="106"/>
        <v>0</v>
      </c>
      <c r="CG75" s="916">
        <f t="shared" si="107"/>
        <v>0</v>
      </c>
      <c r="CH75" s="915">
        <f t="shared" si="108"/>
        <v>0</v>
      </c>
    </row>
    <row r="76" spans="1:86" ht="15" customHeight="1">
      <c r="A76" s="634" t="s">
        <v>753</v>
      </c>
      <c r="B76" s="634"/>
      <c r="C76" s="907"/>
      <c r="D76" s="908"/>
      <c r="E76" s="909">
        <f>SUM(C76+D76)</f>
        <v>0</v>
      </c>
      <c r="F76" s="909"/>
      <c r="G76" s="909"/>
      <c r="H76" s="907"/>
      <c r="I76" s="908"/>
      <c r="J76" s="909">
        <f>SUM(H76+I76)</f>
        <v>0</v>
      </c>
      <c r="K76" s="910"/>
      <c r="L76" s="909"/>
      <c r="M76" s="907"/>
      <c r="N76" s="908"/>
      <c r="O76" s="909">
        <f>SUM(M76+N76)</f>
        <v>0</v>
      </c>
      <c r="P76" s="910"/>
      <c r="Q76" s="909"/>
      <c r="R76" s="907"/>
      <c r="S76" s="908"/>
      <c r="T76" s="909">
        <f>SUM(R76+S76)</f>
        <v>0</v>
      </c>
      <c r="U76" s="909"/>
      <c r="V76" s="909"/>
      <c r="W76" s="912"/>
      <c r="X76" s="913"/>
      <c r="Y76" s="914">
        <f>SUM(W76+X76)</f>
        <v>0</v>
      </c>
      <c r="Z76" s="910"/>
      <c r="AA76" s="914"/>
      <c r="AB76" s="912"/>
      <c r="AC76" s="913"/>
      <c r="AD76" s="914">
        <f>SUM(AB76+AC76)</f>
        <v>0</v>
      </c>
      <c r="AE76" s="910"/>
      <c r="AF76" s="914"/>
      <c r="AG76" s="912"/>
      <c r="AH76" s="913"/>
      <c r="AI76" s="914">
        <f>SUM(AG76+AH76)</f>
        <v>0</v>
      </c>
      <c r="AJ76" s="910"/>
      <c r="AK76" s="914"/>
      <c r="AL76" s="912"/>
      <c r="AM76" s="913"/>
      <c r="AN76" s="914">
        <f>SUM(AL76+AM76)</f>
        <v>0</v>
      </c>
      <c r="AO76" s="910"/>
      <c r="AP76" s="914"/>
      <c r="AQ76" s="912"/>
      <c r="AR76" s="913"/>
      <c r="AS76" s="914">
        <f>SUM(AQ76+AR76)</f>
        <v>0</v>
      </c>
      <c r="AT76" s="910"/>
      <c r="AU76" s="914"/>
      <c r="AV76" s="912"/>
      <c r="AW76" s="913"/>
      <c r="AX76" s="914">
        <f>SUM(AV76+AW76)</f>
        <v>0</v>
      </c>
      <c r="AY76" s="910"/>
      <c r="AZ76" s="914"/>
      <c r="BA76" s="912"/>
      <c r="BB76" s="913"/>
      <c r="BC76" s="914">
        <f>SUM(BA76+BB76)</f>
        <v>0</v>
      </c>
      <c r="BD76" s="910"/>
      <c r="BE76" s="914"/>
      <c r="BF76" s="912"/>
      <c r="BG76" s="913"/>
      <c r="BH76" s="914">
        <f>SUM(BF76+BG76)</f>
        <v>0</v>
      </c>
      <c r="BI76" s="910"/>
      <c r="BJ76" s="914"/>
      <c r="BK76" s="912"/>
      <c r="BL76" s="913"/>
      <c r="BM76" s="914">
        <f>SUM(BK76+BL76)</f>
        <v>0</v>
      </c>
      <c r="BN76" s="910"/>
      <c r="BO76" s="914"/>
      <c r="BP76" s="912"/>
      <c r="BQ76" s="913"/>
      <c r="BR76" s="914">
        <f>SUM(BP76+BQ76)</f>
        <v>0</v>
      </c>
      <c r="BS76" s="910"/>
      <c r="BT76" s="914"/>
      <c r="BU76" s="912"/>
      <c r="BV76" s="913"/>
      <c r="BW76" s="914">
        <f>SUM(BU76+BV76)</f>
        <v>0</v>
      </c>
      <c r="BX76" s="910"/>
      <c r="BY76" s="914"/>
      <c r="BZ76" s="912"/>
      <c r="CA76" s="913"/>
      <c r="CB76" s="914">
        <f>SUM(BZ76+CA76)</f>
        <v>0</v>
      </c>
      <c r="CC76" s="910"/>
      <c r="CD76" s="915">
        <f t="shared" si="104"/>
        <v>0</v>
      </c>
      <c r="CE76" s="916">
        <f t="shared" si="105"/>
        <v>0</v>
      </c>
      <c r="CF76" s="917">
        <f t="shared" si="106"/>
        <v>0</v>
      </c>
      <c r="CG76" s="916">
        <f t="shared" si="107"/>
        <v>0</v>
      </c>
      <c r="CH76" s="915">
        <f t="shared" si="108"/>
        <v>0</v>
      </c>
    </row>
    <row r="77" spans="1:86" s="927" customFormat="1" ht="15.75" customHeight="1">
      <c r="A77" s="925" t="s">
        <v>754</v>
      </c>
      <c r="B77" s="925">
        <f t="shared" ref="B77:AG77" si="109">SUM(B63:B76)</f>
        <v>1120696000</v>
      </c>
      <c r="C77" s="925">
        <f t="shared" si="109"/>
        <v>1120937000</v>
      </c>
      <c r="D77" s="925">
        <f t="shared" si="109"/>
        <v>0</v>
      </c>
      <c r="E77" s="925">
        <f t="shared" si="109"/>
        <v>1191481748</v>
      </c>
      <c r="F77" s="925">
        <f t="shared" si="109"/>
        <v>1191481760</v>
      </c>
      <c r="G77" s="925">
        <f t="shared" si="109"/>
        <v>15484460</v>
      </c>
      <c r="H77" s="925">
        <f t="shared" si="109"/>
        <v>15484460</v>
      </c>
      <c r="I77" s="925">
        <f t="shared" si="109"/>
        <v>0</v>
      </c>
      <c r="J77" s="925">
        <f t="shared" si="109"/>
        <v>22308422</v>
      </c>
      <c r="K77" s="926">
        <f t="shared" si="109"/>
        <v>22308422</v>
      </c>
      <c r="L77" s="925">
        <f t="shared" si="109"/>
        <v>101679698</v>
      </c>
      <c r="M77" s="925">
        <f t="shared" si="109"/>
        <v>101679698</v>
      </c>
      <c r="N77" s="925">
        <f t="shared" si="109"/>
        <v>504499</v>
      </c>
      <c r="O77" s="925">
        <f t="shared" si="109"/>
        <v>78386781</v>
      </c>
      <c r="P77" s="926">
        <f t="shared" si="109"/>
        <v>78386781</v>
      </c>
      <c r="Q77" s="925">
        <f t="shared" si="109"/>
        <v>130409100</v>
      </c>
      <c r="R77" s="925">
        <f t="shared" si="109"/>
        <v>130409100</v>
      </c>
      <c r="S77" s="925">
        <f t="shared" si="109"/>
        <v>-4303575</v>
      </c>
      <c r="T77" s="925">
        <f t="shared" si="109"/>
        <v>160256942</v>
      </c>
      <c r="U77" s="925">
        <f t="shared" si="109"/>
        <v>159573077</v>
      </c>
      <c r="V77" s="925">
        <f t="shared" si="109"/>
        <v>3649518</v>
      </c>
      <c r="W77" s="925">
        <f t="shared" si="109"/>
        <v>3649518</v>
      </c>
      <c r="X77" s="925">
        <f t="shared" si="109"/>
        <v>418481</v>
      </c>
      <c r="Y77" s="925">
        <f t="shared" si="109"/>
        <v>4177231</v>
      </c>
      <c r="Z77" s="926">
        <f t="shared" si="109"/>
        <v>4177231</v>
      </c>
      <c r="AA77" s="925">
        <f t="shared" si="109"/>
        <v>13824653</v>
      </c>
      <c r="AB77" s="925">
        <f t="shared" si="109"/>
        <v>13824653</v>
      </c>
      <c r="AC77" s="925">
        <f t="shared" si="109"/>
        <v>0</v>
      </c>
      <c r="AD77" s="925">
        <f t="shared" si="109"/>
        <v>14361845</v>
      </c>
      <c r="AE77" s="926">
        <f t="shared" si="109"/>
        <v>14361845</v>
      </c>
      <c r="AF77" s="925">
        <f t="shared" si="109"/>
        <v>97500</v>
      </c>
      <c r="AG77" s="925">
        <f t="shared" si="109"/>
        <v>97500</v>
      </c>
      <c r="AH77" s="925">
        <f t="shared" ref="AH77:BM77" si="110">SUM(AH63:AH76)</f>
        <v>0</v>
      </c>
      <c r="AI77" s="925">
        <f t="shared" si="110"/>
        <v>574193</v>
      </c>
      <c r="AJ77" s="926">
        <f t="shared" si="110"/>
        <v>574193</v>
      </c>
      <c r="AK77" s="925">
        <f t="shared" si="110"/>
        <v>122000</v>
      </c>
      <c r="AL77" s="925">
        <f t="shared" si="110"/>
        <v>122000</v>
      </c>
      <c r="AM77" s="925">
        <f t="shared" si="110"/>
        <v>0</v>
      </c>
      <c r="AN77" s="925">
        <f t="shared" si="110"/>
        <v>225338</v>
      </c>
      <c r="AO77" s="926">
        <f t="shared" si="110"/>
        <v>225338</v>
      </c>
      <c r="AP77" s="925">
        <f t="shared" si="110"/>
        <v>4069052</v>
      </c>
      <c r="AQ77" s="925">
        <f t="shared" si="110"/>
        <v>4069052</v>
      </c>
      <c r="AR77" s="925">
        <f t="shared" si="110"/>
        <v>516150</v>
      </c>
      <c r="AS77" s="925">
        <f t="shared" si="110"/>
        <v>5174120</v>
      </c>
      <c r="AT77" s="926">
        <f t="shared" si="110"/>
        <v>5174120</v>
      </c>
      <c r="AU77" s="925">
        <f t="shared" si="110"/>
        <v>2257793</v>
      </c>
      <c r="AV77" s="925">
        <f t="shared" si="110"/>
        <v>2257793</v>
      </c>
      <c r="AW77" s="925">
        <f t="shared" si="110"/>
        <v>354323</v>
      </c>
      <c r="AX77" s="925">
        <f t="shared" si="110"/>
        <v>2719331</v>
      </c>
      <c r="AY77" s="926">
        <f t="shared" si="110"/>
        <v>2719331</v>
      </c>
      <c r="AZ77" s="925">
        <f t="shared" si="110"/>
        <v>35000</v>
      </c>
      <c r="BA77" s="925">
        <f t="shared" si="110"/>
        <v>35000</v>
      </c>
      <c r="BB77" s="925">
        <f t="shared" si="110"/>
        <v>0</v>
      </c>
      <c r="BC77" s="925">
        <f t="shared" si="110"/>
        <v>110090</v>
      </c>
      <c r="BD77" s="926">
        <f t="shared" si="110"/>
        <v>110090</v>
      </c>
      <c r="BE77" s="925">
        <f t="shared" si="110"/>
        <v>2844344</v>
      </c>
      <c r="BF77" s="925">
        <f t="shared" si="110"/>
        <v>2844344</v>
      </c>
      <c r="BG77" s="925">
        <f t="shared" si="110"/>
        <v>390065</v>
      </c>
      <c r="BH77" s="925">
        <f t="shared" si="110"/>
        <v>2777633</v>
      </c>
      <c r="BI77" s="926">
        <f t="shared" si="110"/>
        <v>2777633</v>
      </c>
      <c r="BJ77" s="925">
        <f t="shared" si="110"/>
        <v>5399000</v>
      </c>
      <c r="BK77" s="925">
        <f t="shared" si="110"/>
        <v>5399000</v>
      </c>
      <c r="BL77" s="925">
        <f t="shared" si="110"/>
        <v>0</v>
      </c>
      <c r="BM77" s="925">
        <f t="shared" si="110"/>
        <v>4533124</v>
      </c>
      <c r="BN77" s="926">
        <f t="shared" ref="BN77:CH77" si="111">SUM(BN63:BN76)</f>
        <v>4533124</v>
      </c>
      <c r="BO77" s="925">
        <f t="shared" si="111"/>
        <v>3420499</v>
      </c>
      <c r="BP77" s="925">
        <f t="shared" si="111"/>
        <v>3420499</v>
      </c>
      <c r="BQ77" s="925">
        <f t="shared" si="111"/>
        <v>199563</v>
      </c>
      <c r="BR77" s="925">
        <f t="shared" si="111"/>
        <v>3390746</v>
      </c>
      <c r="BS77" s="926">
        <f t="shared" si="111"/>
        <v>3390746</v>
      </c>
      <c r="BT77" s="925">
        <f t="shared" si="111"/>
        <v>7354809</v>
      </c>
      <c r="BU77" s="925">
        <f t="shared" si="111"/>
        <v>7354809</v>
      </c>
      <c r="BV77" s="925">
        <f t="shared" si="111"/>
        <v>0</v>
      </c>
      <c r="BW77" s="925">
        <f t="shared" si="111"/>
        <v>6352377</v>
      </c>
      <c r="BX77" s="926">
        <f t="shared" si="111"/>
        <v>6352377</v>
      </c>
      <c r="BY77" s="925">
        <f t="shared" si="111"/>
        <v>325617361</v>
      </c>
      <c r="BZ77" s="925">
        <f t="shared" si="111"/>
        <v>366117141</v>
      </c>
      <c r="CA77" s="925">
        <f t="shared" si="111"/>
        <v>1193396</v>
      </c>
      <c r="CB77" s="925">
        <f t="shared" si="111"/>
        <v>381664045</v>
      </c>
      <c r="CC77" s="926">
        <f t="shared" si="111"/>
        <v>381659045</v>
      </c>
      <c r="CD77" s="925">
        <f t="shared" si="111"/>
        <v>1736960787</v>
      </c>
      <c r="CE77" s="925">
        <f t="shared" si="111"/>
        <v>1777701567</v>
      </c>
      <c r="CF77" s="925">
        <f t="shared" si="111"/>
        <v>-727098</v>
      </c>
      <c r="CG77" s="925">
        <f t="shared" si="111"/>
        <v>1878493966</v>
      </c>
      <c r="CH77" s="925">
        <f t="shared" si="111"/>
        <v>1877805113</v>
      </c>
    </row>
    <row r="78" spans="1:86" ht="15" customHeight="1">
      <c r="A78" s="634" t="s">
        <v>755</v>
      </c>
      <c r="B78" s="634"/>
      <c r="C78" s="907"/>
      <c r="D78" s="908"/>
      <c r="E78" s="909">
        <v>252244</v>
      </c>
      <c r="F78" s="909">
        <v>252244</v>
      </c>
      <c r="G78" s="928"/>
      <c r="H78" s="907"/>
      <c r="I78" s="908"/>
      <c r="J78" s="909">
        <f t="shared" ref="J78:J85" si="112">SUM(H78+I78)</f>
        <v>0</v>
      </c>
      <c r="K78" s="910">
        <f>H78-G78</f>
        <v>0</v>
      </c>
      <c r="L78" s="928"/>
      <c r="M78" s="907"/>
      <c r="N78" s="908"/>
      <c r="O78" s="909">
        <f t="shared" ref="O78:O85" si="113">SUM(M78+N78)</f>
        <v>0</v>
      </c>
      <c r="P78" s="910">
        <f>M78-L78</f>
        <v>0</v>
      </c>
      <c r="Q78" s="928"/>
      <c r="R78" s="907"/>
      <c r="S78" s="908"/>
      <c r="T78" s="909">
        <v>507874</v>
      </c>
      <c r="U78" s="909">
        <v>507874</v>
      </c>
      <c r="V78" s="928"/>
      <c r="W78" s="912"/>
      <c r="X78" s="913"/>
      <c r="Y78" s="914">
        <f t="shared" ref="Y78:Y85" si="114">SUM(W78+X78)</f>
        <v>0</v>
      </c>
      <c r="Z78" s="910">
        <f>W78-V78</f>
        <v>0</v>
      </c>
      <c r="AA78" s="929"/>
      <c r="AB78" s="912"/>
      <c r="AC78" s="913"/>
      <c r="AD78" s="914">
        <f t="shared" ref="AD78:AD85" si="115">SUM(AB78+AC78)</f>
        <v>0</v>
      </c>
      <c r="AE78" s="910">
        <f>AB78-AA78</f>
        <v>0</v>
      </c>
      <c r="AF78" s="929"/>
      <c r="AG78" s="912"/>
      <c r="AH78" s="913"/>
      <c r="AI78" s="914">
        <f t="shared" ref="AI78:AI85" si="116">SUM(AG78+AH78)</f>
        <v>0</v>
      </c>
      <c r="AJ78" s="910">
        <f>AG78-AF78</f>
        <v>0</v>
      </c>
      <c r="AK78" s="929"/>
      <c r="AL78" s="912"/>
      <c r="AM78" s="913"/>
      <c r="AN78" s="914">
        <f t="shared" ref="AN78:AN85" si="117">SUM(AL78+AM78)</f>
        <v>0</v>
      </c>
      <c r="AO78" s="910">
        <f>AL78-AK78</f>
        <v>0</v>
      </c>
      <c r="AP78" s="929"/>
      <c r="AQ78" s="912"/>
      <c r="AR78" s="913"/>
      <c r="AS78" s="914">
        <f t="shared" ref="AS78:AS85" si="118">SUM(AQ78+AR78)</f>
        <v>0</v>
      </c>
      <c r="AT78" s="910">
        <f>AQ78-AP78</f>
        <v>0</v>
      </c>
      <c r="AU78" s="929"/>
      <c r="AV78" s="912"/>
      <c r="AW78" s="913"/>
      <c r="AX78" s="914">
        <f t="shared" ref="AX78:AX85" si="119">SUM(AV78+AW78)</f>
        <v>0</v>
      </c>
      <c r="AY78" s="910">
        <f>AV78-AU78</f>
        <v>0</v>
      </c>
      <c r="AZ78" s="929"/>
      <c r="BA78" s="912"/>
      <c r="BB78" s="913"/>
      <c r="BC78" s="914">
        <f t="shared" ref="BC78:BC85" si="120">SUM(BA78+BB78)</f>
        <v>0</v>
      </c>
      <c r="BD78" s="910">
        <f>BA78-AZ78</f>
        <v>0</v>
      </c>
      <c r="BE78" s="929"/>
      <c r="BF78" s="912"/>
      <c r="BG78" s="913"/>
      <c r="BH78" s="914">
        <f t="shared" ref="BH78:BH85" si="121">SUM(BF78+BG78)</f>
        <v>0</v>
      </c>
      <c r="BI78" s="910">
        <f>BF78-BE78</f>
        <v>0</v>
      </c>
      <c r="BJ78" s="929"/>
      <c r="BK78" s="912"/>
      <c r="BL78" s="913"/>
      <c r="BM78" s="914">
        <f t="shared" ref="BM78:BM85" si="122">SUM(BK78+BL78)</f>
        <v>0</v>
      </c>
      <c r="BN78" s="910">
        <f>BK78-BJ78</f>
        <v>0</v>
      </c>
      <c r="BO78" s="929"/>
      <c r="BP78" s="912"/>
      <c r="BQ78" s="913"/>
      <c r="BR78" s="914">
        <f t="shared" ref="BR78:BR85" si="123">SUM(BP78+BQ78)</f>
        <v>0</v>
      </c>
      <c r="BS78" s="910">
        <f>BP78-BO78</f>
        <v>0</v>
      </c>
      <c r="BT78" s="929"/>
      <c r="BU78" s="912"/>
      <c r="BV78" s="913"/>
      <c r="BW78" s="914">
        <f t="shared" ref="BW78:BW85" si="124">SUM(BU78+BV78)</f>
        <v>0</v>
      </c>
      <c r="BX78" s="910">
        <f>BU78-BT78</f>
        <v>0</v>
      </c>
      <c r="BY78" s="929"/>
      <c r="BZ78" s="912"/>
      <c r="CA78" s="913"/>
      <c r="CB78" s="914">
        <f>SUM(BZ78+CA78)</f>
        <v>0</v>
      </c>
      <c r="CC78" s="910">
        <v>15000</v>
      </c>
      <c r="CD78" s="933">
        <f t="shared" ref="CD78:CH85" si="125">SUM(B78+G78+L78+Q78+V78+AA78+AF78+AK78+AP78+AU78+AZ78+BE78+BJ78+BO78+BT78+BY78)</f>
        <v>0</v>
      </c>
      <c r="CE78" s="916">
        <f t="shared" si="125"/>
        <v>0</v>
      </c>
      <c r="CF78" s="917">
        <f t="shared" si="125"/>
        <v>0</v>
      </c>
      <c r="CG78" s="930">
        <f t="shared" si="125"/>
        <v>760118</v>
      </c>
      <c r="CH78" s="930">
        <f t="shared" si="125"/>
        <v>775118</v>
      </c>
    </row>
    <row r="79" spans="1:86" ht="13.5" customHeight="1">
      <c r="A79" s="634" t="s">
        <v>756</v>
      </c>
      <c r="B79" s="634"/>
      <c r="C79" s="907"/>
      <c r="D79" s="908"/>
      <c r="E79" s="909">
        <f t="shared" ref="E79:E84" si="126">SUM(C79+D79)</f>
        <v>0</v>
      </c>
      <c r="F79" s="909"/>
      <c r="G79" s="928"/>
      <c r="H79" s="907"/>
      <c r="I79" s="908"/>
      <c r="J79" s="909">
        <f t="shared" si="112"/>
        <v>0</v>
      </c>
      <c r="K79" s="910">
        <f>H79-G79</f>
        <v>0</v>
      </c>
      <c r="L79" s="928"/>
      <c r="M79" s="907"/>
      <c r="N79" s="908"/>
      <c r="O79" s="909">
        <f t="shared" si="113"/>
        <v>0</v>
      </c>
      <c r="P79" s="910">
        <f>M79-L79</f>
        <v>0</v>
      </c>
      <c r="Q79" s="928"/>
      <c r="R79" s="907"/>
      <c r="S79" s="908"/>
      <c r="T79" s="909">
        <f t="shared" ref="T79:T85" si="127">SUM(R79+S79)</f>
        <v>0</v>
      </c>
      <c r="U79" s="909"/>
      <c r="V79" s="928"/>
      <c r="W79" s="912"/>
      <c r="X79" s="913"/>
      <c r="Y79" s="914">
        <f t="shared" si="114"/>
        <v>0</v>
      </c>
      <c r="Z79" s="910">
        <f>W79-V79</f>
        <v>0</v>
      </c>
      <c r="AA79" s="929"/>
      <c r="AB79" s="912"/>
      <c r="AC79" s="913"/>
      <c r="AD79" s="914">
        <f t="shared" si="115"/>
        <v>0</v>
      </c>
      <c r="AE79" s="910">
        <f>AB79-AA79</f>
        <v>0</v>
      </c>
      <c r="AF79" s="929"/>
      <c r="AG79" s="912"/>
      <c r="AH79" s="913"/>
      <c r="AI79" s="914">
        <f t="shared" si="116"/>
        <v>0</v>
      </c>
      <c r="AJ79" s="910">
        <f>AG79-AF79</f>
        <v>0</v>
      </c>
      <c r="AK79" s="929"/>
      <c r="AL79" s="912"/>
      <c r="AM79" s="913"/>
      <c r="AN79" s="914">
        <f t="shared" si="117"/>
        <v>0</v>
      </c>
      <c r="AO79" s="910">
        <f>AL79-AK79</f>
        <v>0</v>
      </c>
      <c r="AP79" s="929"/>
      <c r="AQ79" s="912"/>
      <c r="AR79" s="913"/>
      <c r="AS79" s="914">
        <f t="shared" si="118"/>
        <v>0</v>
      </c>
      <c r="AT79" s="910">
        <f>AQ79-AP79</f>
        <v>0</v>
      </c>
      <c r="AU79" s="929"/>
      <c r="AV79" s="912"/>
      <c r="AW79" s="913"/>
      <c r="AX79" s="914">
        <f t="shared" si="119"/>
        <v>0</v>
      </c>
      <c r="AY79" s="910">
        <f>AV79-AU79</f>
        <v>0</v>
      </c>
      <c r="AZ79" s="929"/>
      <c r="BA79" s="912"/>
      <c r="BB79" s="913"/>
      <c r="BC79" s="914">
        <f t="shared" si="120"/>
        <v>0</v>
      </c>
      <c r="BD79" s="910">
        <f>BA79-AZ79</f>
        <v>0</v>
      </c>
      <c r="BE79" s="929"/>
      <c r="BF79" s="912"/>
      <c r="BG79" s="913"/>
      <c r="BH79" s="914">
        <f t="shared" si="121"/>
        <v>0</v>
      </c>
      <c r="BI79" s="910">
        <f>BF79-BE79</f>
        <v>0</v>
      </c>
      <c r="BJ79" s="929"/>
      <c r="BK79" s="912"/>
      <c r="BL79" s="913"/>
      <c r="BM79" s="914">
        <f t="shared" si="122"/>
        <v>0</v>
      </c>
      <c r="BN79" s="910">
        <f>BK79-BJ79</f>
        <v>0</v>
      </c>
      <c r="BO79" s="929"/>
      <c r="BP79" s="912"/>
      <c r="BQ79" s="913"/>
      <c r="BR79" s="914">
        <f t="shared" si="123"/>
        <v>0</v>
      </c>
      <c r="BS79" s="910">
        <f>BP79-BO79</f>
        <v>0</v>
      </c>
      <c r="BT79" s="929"/>
      <c r="BU79" s="912"/>
      <c r="BV79" s="913"/>
      <c r="BW79" s="914">
        <f t="shared" si="124"/>
        <v>0</v>
      </c>
      <c r="BX79" s="910">
        <f>BU79-BT79</f>
        <v>0</v>
      </c>
      <c r="BY79" s="929"/>
      <c r="BZ79" s="912"/>
      <c r="CA79" s="913"/>
      <c r="CB79" s="914">
        <f>SUM(BZ79+CA79)</f>
        <v>0</v>
      </c>
      <c r="CC79" s="910">
        <f>BZ79-BY79</f>
        <v>0</v>
      </c>
      <c r="CD79" s="933">
        <f t="shared" si="125"/>
        <v>0</v>
      </c>
      <c r="CE79" s="916">
        <f t="shared" si="125"/>
        <v>0</v>
      </c>
      <c r="CF79" s="917">
        <f t="shared" si="125"/>
        <v>0</v>
      </c>
      <c r="CG79" s="930">
        <f t="shared" si="125"/>
        <v>0</v>
      </c>
      <c r="CH79" s="930">
        <f t="shared" si="125"/>
        <v>0</v>
      </c>
    </row>
    <row r="80" spans="1:86" ht="16.5" customHeight="1">
      <c r="A80" s="634" t="s">
        <v>757</v>
      </c>
      <c r="B80" s="634"/>
      <c r="C80" s="921"/>
      <c r="D80" s="922"/>
      <c r="E80" s="909">
        <f t="shared" si="126"/>
        <v>0</v>
      </c>
      <c r="F80" s="909"/>
      <c r="G80" s="928"/>
      <c r="H80" s="921"/>
      <c r="I80" s="922"/>
      <c r="J80" s="909">
        <f t="shared" si="112"/>
        <v>0</v>
      </c>
      <c r="K80" s="910"/>
      <c r="L80" s="928"/>
      <c r="M80" s="921"/>
      <c r="N80" s="922"/>
      <c r="O80" s="909">
        <f t="shared" si="113"/>
        <v>0</v>
      </c>
      <c r="P80" s="910"/>
      <c r="Q80" s="928"/>
      <c r="R80" s="921"/>
      <c r="S80" s="908"/>
      <c r="T80" s="909">
        <f t="shared" si="127"/>
        <v>0</v>
      </c>
      <c r="U80" s="909"/>
      <c r="V80" s="928"/>
      <c r="W80" s="918"/>
      <c r="X80" s="923"/>
      <c r="Y80" s="914">
        <f t="shared" si="114"/>
        <v>0</v>
      </c>
      <c r="Z80" s="910"/>
      <c r="AA80" s="929"/>
      <c r="AB80" s="918"/>
      <c r="AC80" s="923"/>
      <c r="AD80" s="914">
        <f t="shared" si="115"/>
        <v>0</v>
      </c>
      <c r="AE80" s="910"/>
      <c r="AF80" s="929"/>
      <c r="AG80" s="918"/>
      <c r="AH80" s="923"/>
      <c r="AI80" s="914">
        <f t="shared" si="116"/>
        <v>0</v>
      </c>
      <c r="AJ80" s="910"/>
      <c r="AK80" s="929"/>
      <c r="AL80" s="918"/>
      <c r="AM80" s="923"/>
      <c r="AN80" s="914">
        <f t="shared" si="117"/>
        <v>0</v>
      </c>
      <c r="AO80" s="910"/>
      <c r="AP80" s="929"/>
      <c r="AQ80" s="918"/>
      <c r="AR80" s="923"/>
      <c r="AS80" s="914">
        <f t="shared" si="118"/>
        <v>0</v>
      </c>
      <c r="AT80" s="910"/>
      <c r="AU80" s="929"/>
      <c r="AV80" s="918"/>
      <c r="AW80" s="923"/>
      <c r="AX80" s="914">
        <f t="shared" si="119"/>
        <v>0</v>
      </c>
      <c r="AY80" s="910"/>
      <c r="AZ80" s="929"/>
      <c r="BA80" s="918"/>
      <c r="BB80" s="923"/>
      <c r="BC80" s="914">
        <f t="shared" si="120"/>
        <v>0</v>
      </c>
      <c r="BD80" s="910"/>
      <c r="BE80" s="929"/>
      <c r="BF80" s="918"/>
      <c r="BG80" s="923"/>
      <c r="BH80" s="914">
        <f t="shared" si="121"/>
        <v>0</v>
      </c>
      <c r="BI80" s="910"/>
      <c r="BJ80" s="929"/>
      <c r="BK80" s="918"/>
      <c r="BL80" s="923"/>
      <c r="BM80" s="914">
        <f t="shared" si="122"/>
        <v>0</v>
      </c>
      <c r="BN80" s="910"/>
      <c r="BO80" s="929"/>
      <c r="BP80" s="918"/>
      <c r="BQ80" s="923"/>
      <c r="BR80" s="914">
        <f t="shared" si="123"/>
        <v>0</v>
      </c>
      <c r="BS80" s="910"/>
      <c r="BT80" s="929"/>
      <c r="BU80" s="918"/>
      <c r="BV80" s="923"/>
      <c r="BW80" s="914">
        <f t="shared" si="124"/>
        <v>0</v>
      </c>
      <c r="BX80" s="910"/>
      <c r="BY80" s="929"/>
      <c r="BZ80" s="918"/>
      <c r="CA80" s="923"/>
      <c r="CB80" s="914">
        <f>SUM(BZ80+CA80)</f>
        <v>0</v>
      </c>
      <c r="CC80" s="910"/>
      <c r="CD80" s="933">
        <f t="shared" si="125"/>
        <v>0</v>
      </c>
      <c r="CE80" s="916">
        <f t="shared" si="125"/>
        <v>0</v>
      </c>
      <c r="CF80" s="917">
        <f t="shared" si="125"/>
        <v>0</v>
      </c>
      <c r="CG80" s="930">
        <f t="shared" si="125"/>
        <v>0</v>
      </c>
      <c r="CH80" s="930">
        <f t="shared" si="125"/>
        <v>0</v>
      </c>
    </row>
    <row r="81" spans="1:86" ht="16.5" hidden="1" customHeight="1">
      <c r="A81" s="634" t="s">
        <v>758</v>
      </c>
      <c r="B81" s="634"/>
      <c r="C81" s="921"/>
      <c r="D81" s="922"/>
      <c r="E81" s="909">
        <f t="shared" si="126"/>
        <v>0</v>
      </c>
      <c r="F81" s="909"/>
      <c r="G81" s="928"/>
      <c r="H81" s="921"/>
      <c r="I81" s="922"/>
      <c r="J81" s="909">
        <f t="shared" si="112"/>
        <v>0</v>
      </c>
      <c r="K81" s="910"/>
      <c r="L81" s="928"/>
      <c r="M81" s="921"/>
      <c r="N81" s="922"/>
      <c r="O81" s="909">
        <f t="shared" si="113"/>
        <v>0</v>
      </c>
      <c r="P81" s="910"/>
      <c r="Q81" s="928"/>
      <c r="R81" s="921">
        <v>0</v>
      </c>
      <c r="S81" s="908"/>
      <c r="T81" s="909">
        <f t="shared" si="127"/>
        <v>0</v>
      </c>
      <c r="U81" s="909"/>
      <c r="V81" s="928"/>
      <c r="W81" s="918"/>
      <c r="X81" s="923"/>
      <c r="Y81" s="914">
        <f t="shared" si="114"/>
        <v>0</v>
      </c>
      <c r="Z81" s="910"/>
      <c r="AA81" s="929"/>
      <c r="AB81" s="918"/>
      <c r="AC81" s="923"/>
      <c r="AD81" s="914">
        <f t="shared" si="115"/>
        <v>0</v>
      </c>
      <c r="AE81" s="910"/>
      <c r="AF81" s="929"/>
      <c r="AG81" s="918"/>
      <c r="AH81" s="923"/>
      <c r="AI81" s="914">
        <f t="shared" si="116"/>
        <v>0</v>
      </c>
      <c r="AJ81" s="910"/>
      <c r="AK81" s="929"/>
      <c r="AL81" s="918"/>
      <c r="AM81" s="923"/>
      <c r="AN81" s="914">
        <f t="shared" si="117"/>
        <v>0</v>
      </c>
      <c r="AO81" s="910"/>
      <c r="AP81" s="929"/>
      <c r="AQ81" s="918"/>
      <c r="AR81" s="923"/>
      <c r="AS81" s="914">
        <f t="shared" si="118"/>
        <v>0</v>
      </c>
      <c r="AT81" s="910"/>
      <c r="AU81" s="929"/>
      <c r="AV81" s="918"/>
      <c r="AW81" s="923"/>
      <c r="AX81" s="914">
        <f t="shared" si="119"/>
        <v>0</v>
      </c>
      <c r="AY81" s="910"/>
      <c r="AZ81" s="929"/>
      <c r="BA81" s="918"/>
      <c r="BB81" s="923"/>
      <c r="BC81" s="914">
        <f t="shared" si="120"/>
        <v>0</v>
      </c>
      <c r="BD81" s="910"/>
      <c r="BE81" s="929"/>
      <c r="BF81" s="918"/>
      <c r="BG81" s="923"/>
      <c r="BH81" s="914">
        <f t="shared" si="121"/>
        <v>0</v>
      </c>
      <c r="BI81" s="910"/>
      <c r="BJ81" s="929"/>
      <c r="BK81" s="918"/>
      <c r="BL81" s="923"/>
      <c r="BM81" s="914">
        <f t="shared" si="122"/>
        <v>0</v>
      </c>
      <c r="BN81" s="910"/>
      <c r="BO81" s="929"/>
      <c r="BP81" s="918"/>
      <c r="BQ81" s="923"/>
      <c r="BR81" s="914">
        <f t="shared" si="123"/>
        <v>0</v>
      </c>
      <c r="BS81" s="910"/>
      <c r="BT81" s="929"/>
      <c r="BU81" s="918"/>
      <c r="BV81" s="923"/>
      <c r="BW81" s="914">
        <f t="shared" si="124"/>
        <v>0</v>
      </c>
      <c r="BX81" s="910"/>
      <c r="BY81" s="929"/>
      <c r="BZ81" s="918"/>
      <c r="CA81" s="923"/>
      <c r="CB81" s="914">
        <f>SUM(BZ81+CA81)</f>
        <v>0</v>
      </c>
      <c r="CC81" s="910"/>
      <c r="CD81" s="933">
        <f t="shared" si="125"/>
        <v>0</v>
      </c>
      <c r="CE81" s="916">
        <f t="shared" si="125"/>
        <v>0</v>
      </c>
      <c r="CF81" s="917">
        <f t="shared" si="125"/>
        <v>0</v>
      </c>
      <c r="CG81" s="930">
        <f t="shared" si="125"/>
        <v>0</v>
      </c>
      <c r="CH81" s="930">
        <f t="shared" si="125"/>
        <v>0</v>
      </c>
    </row>
    <row r="82" spans="1:86" ht="16.5" customHeight="1">
      <c r="A82" s="634" t="s">
        <v>759</v>
      </c>
      <c r="B82" s="634"/>
      <c r="C82" s="907"/>
      <c r="D82" s="908"/>
      <c r="E82" s="909">
        <f t="shared" si="126"/>
        <v>0</v>
      </c>
      <c r="F82" s="909"/>
      <c r="G82" s="928"/>
      <c r="H82" s="907"/>
      <c r="I82" s="908"/>
      <c r="J82" s="909">
        <f t="shared" si="112"/>
        <v>0</v>
      </c>
      <c r="K82" s="910"/>
      <c r="L82" s="928"/>
      <c r="M82" s="907"/>
      <c r="N82" s="908"/>
      <c r="O82" s="909">
        <f t="shared" si="113"/>
        <v>0</v>
      </c>
      <c r="P82" s="910"/>
      <c r="Q82" s="928"/>
      <c r="R82" s="907">
        <v>1200000</v>
      </c>
      <c r="S82" s="908"/>
      <c r="T82" s="909">
        <f t="shared" si="127"/>
        <v>1200000</v>
      </c>
      <c r="U82" s="909"/>
      <c r="V82" s="928"/>
      <c r="W82" s="912"/>
      <c r="X82" s="913"/>
      <c r="Y82" s="914">
        <f t="shared" si="114"/>
        <v>0</v>
      </c>
      <c r="Z82" s="910"/>
      <c r="AA82" s="929"/>
      <c r="AB82" s="912"/>
      <c r="AC82" s="913"/>
      <c r="AD82" s="914">
        <f t="shared" si="115"/>
        <v>0</v>
      </c>
      <c r="AE82" s="910"/>
      <c r="AF82" s="929"/>
      <c r="AG82" s="912"/>
      <c r="AH82" s="913"/>
      <c r="AI82" s="914">
        <f t="shared" si="116"/>
        <v>0</v>
      </c>
      <c r="AJ82" s="910"/>
      <c r="AK82" s="929"/>
      <c r="AL82" s="912"/>
      <c r="AM82" s="913"/>
      <c r="AN82" s="914">
        <f t="shared" si="117"/>
        <v>0</v>
      </c>
      <c r="AO82" s="910"/>
      <c r="AP82" s="929"/>
      <c r="AQ82" s="912"/>
      <c r="AR82" s="913"/>
      <c r="AS82" s="914">
        <f t="shared" si="118"/>
        <v>0</v>
      </c>
      <c r="AT82" s="910"/>
      <c r="AU82" s="929"/>
      <c r="AV82" s="912"/>
      <c r="AW82" s="913"/>
      <c r="AX82" s="914">
        <f t="shared" si="119"/>
        <v>0</v>
      </c>
      <c r="AY82" s="910"/>
      <c r="AZ82" s="929"/>
      <c r="BA82" s="912"/>
      <c r="BB82" s="923"/>
      <c r="BC82" s="914">
        <f t="shared" si="120"/>
        <v>0</v>
      </c>
      <c r="BD82" s="910"/>
      <c r="BE82" s="929"/>
      <c r="BF82" s="912"/>
      <c r="BG82" s="913"/>
      <c r="BH82" s="914">
        <f t="shared" si="121"/>
        <v>0</v>
      </c>
      <c r="BI82" s="910"/>
      <c r="BJ82" s="929"/>
      <c r="BK82" s="912"/>
      <c r="BL82" s="913"/>
      <c r="BM82" s="914">
        <f t="shared" si="122"/>
        <v>0</v>
      </c>
      <c r="BN82" s="910"/>
      <c r="BO82" s="929"/>
      <c r="BP82" s="912"/>
      <c r="BQ82" s="913"/>
      <c r="BR82" s="914">
        <f t="shared" si="123"/>
        <v>0</v>
      </c>
      <c r="BS82" s="910"/>
      <c r="BT82" s="929"/>
      <c r="BU82" s="912"/>
      <c r="BV82" s="913"/>
      <c r="BW82" s="914">
        <f t="shared" si="124"/>
        <v>0</v>
      </c>
      <c r="BX82" s="910"/>
      <c r="BY82" s="929"/>
      <c r="BZ82" s="912">
        <v>5895930</v>
      </c>
      <c r="CA82" s="913"/>
      <c r="CB82" s="914">
        <v>5793334</v>
      </c>
      <c r="CC82" s="910">
        <v>5793334</v>
      </c>
      <c r="CD82" s="933">
        <f t="shared" si="125"/>
        <v>0</v>
      </c>
      <c r="CE82" s="916">
        <f t="shared" si="125"/>
        <v>7095930</v>
      </c>
      <c r="CF82" s="917">
        <f t="shared" si="125"/>
        <v>0</v>
      </c>
      <c r="CG82" s="930">
        <f t="shared" si="125"/>
        <v>6993334</v>
      </c>
      <c r="CH82" s="930">
        <f t="shared" si="125"/>
        <v>5793334</v>
      </c>
    </row>
    <row r="83" spans="1:86" ht="12.75" customHeight="1">
      <c r="A83" s="634" t="s">
        <v>760</v>
      </c>
      <c r="B83" s="634"/>
      <c r="C83" s="921"/>
      <c r="D83" s="922"/>
      <c r="E83" s="909">
        <f t="shared" si="126"/>
        <v>0</v>
      </c>
      <c r="F83" s="909"/>
      <c r="G83" s="928"/>
      <c r="H83" s="921"/>
      <c r="I83" s="922"/>
      <c r="J83" s="909">
        <f t="shared" si="112"/>
        <v>0</v>
      </c>
      <c r="K83" s="910"/>
      <c r="L83" s="928"/>
      <c r="M83" s="907"/>
      <c r="N83" s="908"/>
      <c r="O83" s="909">
        <f t="shared" si="113"/>
        <v>0</v>
      </c>
      <c r="P83" s="910"/>
      <c r="Q83" s="928"/>
      <c r="R83" s="921"/>
      <c r="S83" s="908"/>
      <c r="T83" s="909">
        <f t="shared" si="127"/>
        <v>0</v>
      </c>
      <c r="U83" s="909"/>
      <c r="V83" s="928"/>
      <c r="W83" s="918"/>
      <c r="X83" s="923"/>
      <c r="Y83" s="914">
        <f t="shared" si="114"/>
        <v>0</v>
      </c>
      <c r="Z83" s="910"/>
      <c r="AA83" s="929"/>
      <c r="AB83" s="918"/>
      <c r="AC83" s="923"/>
      <c r="AD83" s="914">
        <f t="shared" si="115"/>
        <v>0</v>
      </c>
      <c r="AE83" s="910"/>
      <c r="AF83" s="929"/>
      <c r="AG83" s="918"/>
      <c r="AH83" s="923"/>
      <c r="AI83" s="914">
        <f t="shared" si="116"/>
        <v>0</v>
      </c>
      <c r="AJ83" s="910"/>
      <c r="AK83" s="929"/>
      <c r="AL83" s="918"/>
      <c r="AM83" s="923"/>
      <c r="AN83" s="914">
        <f t="shared" si="117"/>
        <v>0</v>
      </c>
      <c r="AO83" s="910"/>
      <c r="AP83" s="929"/>
      <c r="AQ83" s="918"/>
      <c r="AR83" s="923"/>
      <c r="AS83" s="914">
        <f t="shared" si="118"/>
        <v>0</v>
      </c>
      <c r="AT83" s="910"/>
      <c r="AU83" s="929"/>
      <c r="AV83" s="918"/>
      <c r="AW83" s="923"/>
      <c r="AX83" s="914">
        <f t="shared" si="119"/>
        <v>0</v>
      </c>
      <c r="AY83" s="910"/>
      <c r="AZ83" s="929"/>
      <c r="BA83" s="918"/>
      <c r="BB83" s="923"/>
      <c r="BC83" s="914">
        <f t="shared" si="120"/>
        <v>0</v>
      </c>
      <c r="BD83" s="910"/>
      <c r="BE83" s="929"/>
      <c r="BF83" s="918"/>
      <c r="BG83" s="923"/>
      <c r="BH83" s="914">
        <f t="shared" si="121"/>
        <v>0</v>
      </c>
      <c r="BI83" s="910"/>
      <c r="BJ83" s="929"/>
      <c r="BK83" s="918"/>
      <c r="BL83" s="923"/>
      <c r="BM83" s="914">
        <f t="shared" si="122"/>
        <v>0</v>
      </c>
      <c r="BN83" s="910"/>
      <c r="BO83" s="929"/>
      <c r="BP83" s="918"/>
      <c r="BQ83" s="923"/>
      <c r="BR83" s="914">
        <f t="shared" si="123"/>
        <v>0</v>
      </c>
      <c r="BS83" s="910"/>
      <c r="BT83" s="929"/>
      <c r="BU83" s="918"/>
      <c r="BV83" s="923"/>
      <c r="BW83" s="914">
        <f t="shared" si="124"/>
        <v>0</v>
      </c>
      <c r="BX83" s="910"/>
      <c r="BY83" s="929"/>
      <c r="BZ83" s="918"/>
      <c r="CA83" s="923"/>
      <c r="CB83" s="914">
        <f>SUM(BZ83+CA83)</f>
        <v>0</v>
      </c>
      <c r="CC83" s="910"/>
      <c r="CD83" s="933">
        <f t="shared" si="125"/>
        <v>0</v>
      </c>
      <c r="CE83" s="916">
        <f t="shared" si="125"/>
        <v>0</v>
      </c>
      <c r="CF83" s="917">
        <f t="shared" si="125"/>
        <v>0</v>
      </c>
      <c r="CG83" s="930">
        <f t="shared" si="125"/>
        <v>0</v>
      </c>
      <c r="CH83" s="930">
        <f t="shared" si="125"/>
        <v>0</v>
      </c>
    </row>
    <row r="84" spans="1:86" ht="14.25" customHeight="1">
      <c r="A84" s="634" t="s">
        <v>761</v>
      </c>
      <c r="B84" s="634"/>
      <c r="C84" s="921"/>
      <c r="D84" s="922"/>
      <c r="E84" s="909">
        <f t="shared" si="126"/>
        <v>0</v>
      </c>
      <c r="F84" s="909"/>
      <c r="G84" s="928"/>
      <c r="H84" s="921"/>
      <c r="I84" s="922"/>
      <c r="J84" s="909">
        <f t="shared" si="112"/>
        <v>0</v>
      </c>
      <c r="K84" s="910"/>
      <c r="L84" s="928"/>
      <c r="M84" s="907"/>
      <c r="N84" s="908"/>
      <c r="O84" s="909">
        <f t="shared" si="113"/>
        <v>0</v>
      </c>
      <c r="P84" s="910"/>
      <c r="Q84" s="928"/>
      <c r="R84" s="921"/>
      <c r="S84" s="908"/>
      <c r="T84" s="909">
        <f t="shared" si="127"/>
        <v>0</v>
      </c>
      <c r="U84" s="909"/>
      <c r="V84" s="928"/>
      <c r="W84" s="918"/>
      <c r="X84" s="923"/>
      <c r="Y84" s="914">
        <f t="shared" si="114"/>
        <v>0</v>
      </c>
      <c r="Z84" s="910"/>
      <c r="AA84" s="929"/>
      <c r="AB84" s="918"/>
      <c r="AC84" s="923"/>
      <c r="AD84" s="914">
        <f t="shared" si="115"/>
        <v>0</v>
      </c>
      <c r="AE84" s="910"/>
      <c r="AF84" s="929"/>
      <c r="AG84" s="918"/>
      <c r="AH84" s="923"/>
      <c r="AI84" s="914">
        <f t="shared" si="116"/>
        <v>0</v>
      </c>
      <c r="AJ84" s="910"/>
      <c r="AK84" s="929"/>
      <c r="AL84" s="918"/>
      <c r="AM84" s="923"/>
      <c r="AN84" s="914">
        <f t="shared" si="117"/>
        <v>0</v>
      </c>
      <c r="AO84" s="910"/>
      <c r="AP84" s="929"/>
      <c r="AQ84" s="918"/>
      <c r="AR84" s="923"/>
      <c r="AS84" s="914">
        <f t="shared" si="118"/>
        <v>0</v>
      </c>
      <c r="AT84" s="910"/>
      <c r="AU84" s="929"/>
      <c r="AV84" s="918"/>
      <c r="AW84" s="923"/>
      <c r="AX84" s="914">
        <f t="shared" si="119"/>
        <v>0</v>
      </c>
      <c r="AY84" s="910"/>
      <c r="AZ84" s="929"/>
      <c r="BA84" s="918"/>
      <c r="BB84" s="923"/>
      <c r="BC84" s="914">
        <f t="shared" si="120"/>
        <v>0</v>
      </c>
      <c r="BD84" s="910"/>
      <c r="BE84" s="929"/>
      <c r="BF84" s="918"/>
      <c r="BG84" s="923"/>
      <c r="BH84" s="914">
        <f t="shared" si="121"/>
        <v>0</v>
      </c>
      <c r="BI84" s="910"/>
      <c r="BJ84" s="929"/>
      <c r="BK84" s="918"/>
      <c r="BL84" s="923"/>
      <c r="BM84" s="914">
        <f t="shared" si="122"/>
        <v>0</v>
      </c>
      <c r="BN84" s="910"/>
      <c r="BO84" s="929"/>
      <c r="BP84" s="918"/>
      <c r="BQ84" s="923"/>
      <c r="BR84" s="914">
        <f t="shared" si="123"/>
        <v>0</v>
      </c>
      <c r="BS84" s="910"/>
      <c r="BT84" s="929"/>
      <c r="BU84" s="918"/>
      <c r="BV84" s="923"/>
      <c r="BW84" s="914">
        <f t="shared" si="124"/>
        <v>0</v>
      </c>
      <c r="BX84" s="910"/>
      <c r="BY84" s="929"/>
      <c r="BZ84" s="918"/>
      <c r="CA84" s="923"/>
      <c r="CB84" s="914">
        <f>SUM(BZ84+CA84)</f>
        <v>0</v>
      </c>
      <c r="CC84" s="910"/>
      <c r="CD84" s="933">
        <f t="shared" si="125"/>
        <v>0</v>
      </c>
      <c r="CE84" s="916">
        <f t="shared" si="125"/>
        <v>0</v>
      </c>
      <c r="CF84" s="917">
        <f t="shared" si="125"/>
        <v>0</v>
      </c>
      <c r="CG84" s="930">
        <f t="shared" si="125"/>
        <v>0</v>
      </c>
      <c r="CH84" s="930">
        <f t="shared" si="125"/>
        <v>0</v>
      </c>
    </row>
    <row r="85" spans="1:86" ht="15" customHeight="1">
      <c r="A85" s="634" t="s">
        <v>762</v>
      </c>
      <c r="B85" s="634"/>
      <c r="C85" s="907"/>
      <c r="D85" s="908"/>
      <c r="E85" s="909">
        <v>175260</v>
      </c>
      <c r="F85" s="909">
        <v>175260</v>
      </c>
      <c r="G85" s="928"/>
      <c r="H85" s="907"/>
      <c r="I85" s="908"/>
      <c r="J85" s="909">
        <f t="shared" si="112"/>
        <v>0</v>
      </c>
      <c r="K85" s="910"/>
      <c r="L85" s="928"/>
      <c r="M85" s="907"/>
      <c r="N85" s="908"/>
      <c r="O85" s="909">
        <f t="shared" si="113"/>
        <v>0</v>
      </c>
      <c r="P85" s="910"/>
      <c r="Q85" s="928"/>
      <c r="R85" s="907"/>
      <c r="S85" s="908"/>
      <c r="T85" s="909">
        <f t="shared" si="127"/>
        <v>0</v>
      </c>
      <c r="U85" s="909"/>
      <c r="V85" s="928"/>
      <c r="W85" s="912"/>
      <c r="X85" s="913"/>
      <c r="Y85" s="914">
        <f t="shared" si="114"/>
        <v>0</v>
      </c>
      <c r="Z85" s="910"/>
      <c r="AA85" s="929"/>
      <c r="AB85" s="912"/>
      <c r="AC85" s="913"/>
      <c r="AD85" s="914">
        <f t="shared" si="115"/>
        <v>0</v>
      </c>
      <c r="AE85" s="910"/>
      <c r="AF85" s="929"/>
      <c r="AG85" s="912"/>
      <c r="AH85" s="913"/>
      <c r="AI85" s="914">
        <f t="shared" si="116"/>
        <v>0</v>
      </c>
      <c r="AJ85" s="910"/>
      <c r="AK85" s="929"/>
      <c r="AL85" s="912"/>
      <c r="AM85" s="913"/>
      <c r="AN85" s="914">
        <f t="shared" si="117"/>
        <v>0</v>
      </c>
      <c r="AO85" s="910"/>
      <c r="AP85" s="929"/>
      <c r="AQ85" s="912"/>
      <c r="AR85" s="913"/>
      <c r="AS85" s="914">
        <f t="shared" si="118"/>
        <v>0</v>
      </c>
      <c r="AT85" s="910"/>
      <c r="AU85" s="929"/>
      <c r="AV85" s="912"/>
      <c r="AW85" s="913"/>
      <c r="AX85" s="914">
        <f t="shared" si="119"/>
        <v>0</v>
      </c>
      <c r="AY85" s="910"/>
      <c r="AZ85" s="929"/>
      <c r="BA85" s="912"/>
      <c r="BB85" s="923"/>
      <c r="BC85" s="914">
        <f t="shared" si="120"/>
        <v>0</v>
      </c>
      <c r="BD85" s="910"/>
      <c r="BE85" s="929"/>
      <c r="BF85" s="912"/>
      <c r="BG85" s="913"/>
      <c r="BH85" s="914">
        <f t="shared" si="121"/>
        <v>0</v>
      </c>
      <c r="BI85" s="910"/>
      <c r="BJ85" s="929"/>
      <c r="BK85" s="912"/>
      <c r="BL85" s="913"/>
      <c r="BM85" s="914">
        <f t="shared" si="122"/>
        <v>0</v>
      </c>
      <c r="BN85" s="910"/>
      <c r="BO85" s="929"/>
      <c r="BP85" s="912"/>
      <c r="BQ85" s="913"/>
      <c r="BR85" s="914">
        <f t="shared" si="123"/>
        <v>0</v>
      </c>
      <c r="BS85" s="910"/>
      <c r="BT85" s="929"/>
      <c r="BU85" s="912"/>
      <c r="BV85" s="913"/>
      <c r="BW85" s="914">
        <f t="shared" si="124"/>
        <v>0</v>
      </c>
      <c r="BX85" s="910"/>
      <c r="BY85" s="929"/>
      <c r="BZ85" s="912"/>
      <c r="CA85" s="913"/>
      <c r="CB85" s="914">
        <f>SUM(BZ85+CA85)</f>
        <v>0</v>
      </c>
      <c r="CC85" s="910"/>
      <c r="CD85" s="933">
        <f t="shared" si="125"/>
        <v>0</v>
      </c>
      <c r="CE85" s="916">
        <f t="shared" si="125"/>
        <v>0</v>
      </c>
      <c r="CF85" s="917">
        <f t="shared" si="125"/>
        <v>0</v>
      </c>
      <c r="CG85" s="930">
        <f t="shared" si="125"/>
        <v>175260</v>
      </c>
      <c r="CH85" s="930">
        <f t="shared" si="125"/>
        <v>175260</v>
      </c>
    </row>
    <row r="86" spans="1:86" s="927" customFormat="1" ht="15" customHeight="1">
      <c r="A86" s="935" t="s">
        <v>763</v>
      </c>
      <c r="B86" s="935">
        <f t="shared" ref="B86:AG86" si="128">SUM(B78:B85)</f>
        <v>0</v>
      </c>
      <c r="C86" s="935">
        <f t="shared" si="128"/>
        <v>0</v>
      </c>
      <c r="D86" s="935">
        <f t="shared" si="128"/>
        <v>0</v>
      </c>
      <c r="E86" s="935">
        <f t="shared" si="128"/>
        <v>427504</v>
      </c>
      <c r="F86" s="935">
        <f t="shared" si="128"/>
        <v>427504</v>
      </c>
      <c r="G86" s="935">
        <f t="shared" si="128"/>
        <v>0</v>
      </c>
      <c r="H86" s="935">
        <f t="shared" si="128"/>
        <v>0</v>
      </c>
      <c r="I86" s="935">
        <f t="shared" si="128"/>
        <v>0</v>
      </c>
      <c r="J86" s="935">
        <f t="shared" si="128"/>
        <v>0</v>
      </c>
      <c r="K86" s="936">
        <f t="shared" si="128"/>
        <v>0</v>
      </c>
      <c r="L86" s="935">
        <f t="shared" si="128"/>
        <v>0</v>
      </c>
      <c r="M86" s="935">
        <f t="shared" si="128"/>
        <v>0</v>
      </c>
      <c r="N86" s="935">
        <f t="shared" si="128"/>
        <v>0</v>
      </c>
      <c r="O86" s="935">
        <f t="shared" si="128"/>
        <v>0</v>
      </c>
      <c r="P86" s="936">
        <f t="shared" si="128"/>
        <v>0</v>
      </c>
      <c r="Q86" s="935">
        <f t="shared" si="128"/>
        <v>0</v>
      </c>
      <c r="R86" s="935">
        <f t="shared" si="128"/>
        <v>1200000</v>
      </c>
      <c r="S86" s="935">
        <f t="shared" si="128"/>
        <v>0</v>
      </c>
      <c r="T86" s="935">
        <f t="shared" si="128"/>
        <v>1707874</v>
      </c>
      <c r="U86" s="935">
        <f t="shared" si="128"/>
        <v>507874</v>
      </c>
      <c r="V86" s="935">
        <f t="shared" si="128"/>
        <v>0</v>
      </c>
      <c r="W86" s="935">
        <f t="shared" si="128"/>
        <v>0</v>
      </c>
      <c r="X86" s="935">
        <f t="shared" si="128"/>
        <v>0</v>
      </c>
      <c r="Y86" s="935">
        <f t="shared" si="128"/>
        <v>0</v>
      </c>
      <c r="Z86" s="936">
        <f t="shared" si="128"/>
        <v>0</v>
      </c>
      <c r="AA86" s="935">
        <f t="shared" si="128"/>
        <v>0</v>
      </c>
      <c r="AB86" s="935">
        <f t="shared" si="128"/>
        <v>0</v>
      </c>
      <c r="AC86" s="935">
        <f t="shared" si="128"/>
        <v>0</v>
      </c>
      <c r="AD86" s="935">
        <f t="shared" si="128"/>
        <v>0</v>
      </c>
      <c r="AE86" s="936">
        <f t="shared" si="128"/>
        <v>0</v>
      </c>
      <c r="AF86" s="935">
        <f t="shared" si="128"/>
        <v>0</v>
      </c>
      <c r="AG86" s="935">
        <f t="shared" si="128"/>
        <v>0</v>
      </c>
      <c r="AH86" s="935">
        <f t="shared" ref="AH86:BM86" si="129">SUM(AH78:AH85)</f>
        <v>0</v>
      </c>
      <c r="AI86" s="935">
        <f t="shared" si="129"/>
        <v>0</v>
      </c>
      <c r="AJ86" s="936">
        <f t="shared" si="129"/>
        <v>0</v>
      </c>
      <c r="AK86" s="935">
        <f t="shared" si="129"/>
        <v>0</v>
      </c>
      <c r="AL86" s="935">
        <f t="shared" si="129"/>
        <v>0</v>
      </c>
      <c r="AM86" s="935">
        <f t="shared" si="129"/>
        <v>0</v>
      </c>
      <c r="AN86" s="935">
        <f t="shared" si="129"/>
        <v>0</v>
      </c>
      <c r="AO86" s="936">
        <f t="shared" si="129"/>
        <v>0</v>
      </c>
      <c r="AP86" s="935">
        <f t="shared" si="129"/>
        <v>0</v>
      </c>
      <c r="AQ86" s="935">
        <f t="shared" si="129"/>
        <v>0</v>
      </c>
      <c r="AR86" s="935">
        <f t="shared" si="129"/>
        <v>0</v>
      </c>
      <c r="AS86" s="935">
        <f t="shared" si="129"/>
        <v>0</v>
      </c>
      <c r="AT86" s="936">
        <f t="shared" si="129"/>
        <v>0</v>
      </c>
      <c r="AU86" s="935">
        <f t="shared" si="129"/>
        <v>0</v>
      </c>
      <c r="AV86" s="935">
        <f t="shared" si="129"/>
        <v>0</v>
      </c>
      <c r="AW86" s="935">
        <f t="shared" si="129"/>
        <v>0</v>
      </c>
      <c r="AX86" s="935">
        <f t="shared" si="129"/>
        <v>0</v>
      </c>
      <c r="AY86" s="936">
        <f t="shared" si="129"/>
        <v>0</v>
      </c>
      <c r="AZ86" s="935">
        <f t="shared" si="129"/>
        <v>0</v>
      </c>
      <c r="BA86" s="935">
        <f t="shared" si="129"/>
        <v>0</v>
      </c>
      <c r="BB86" s="935">
        <f t="shared" si="129"/>
        <v>0</v>
      </c>
      <c r="BC86" s="935">
        <f t="shared" si="129"/>
        <v>0</v>
      </c>
      <c r="BD86" s="936">
        <f t="shared" si="129"/>
        <v>0</v>
      </c>
      <c r="BE86" s="935">
        <f t="shared" si="129"/>
        <v>0</v>
      </c>
      <c r="BF86" s="935">
        <f t="shared" si="129"/>
        <v>0</v>
      </c>
      <c r="BG86" s="935">
        <f t="shared" si="129"/>
        <v>0</v>
      </c>
      <c r="BH86" s="935">
        <f t="shared" si="129"/>
        <v>0</v>
      </c>
      <c r="BI86" s="936">
        <f t="shared" si="129"/>
        <v>0</v>
      </c>
      <c r="BJ86" s="935">
        <f t="shared" si="129"/>
        <v>0</v>
      </c>
      <c r="BK86" s="935">
        <f t="shared" si="129"/>
        <v>0</v>
      </c>
      <c r="BL86" s="935">
        <f t="shared" si="129"/>
        <v>0</v>
      </c>
      <c r="BM86" s="935">
        <f t="shared" si="129"/>
        <v>0</v>
      </c>
      <c r="BN86" s="936">
        <f t="shared" ref="BN86:CH86" si="130">SUM(BN78:BN85)</f>
        <v>0</v>
      </c>
      <c r="BO86" s="935">
        <f t="shared" si="130"/>
        <v>0</v>
      </c>
      <c r="BP86" s="935">
        <f t="shared" si="130"/>
        <v>0</v>
      </c>
      <c r="BQ86" s="935">
        <f t="shared" si="130"/>
        <v>0</v>
      </c>
      <c r="BR86" s="935">
        <f t="shared" si="130"/>
        <v>0</v>
      </c>
      <c r="BS86" s="936">
        <f t="shared" si="130"/>
        <v>0</v>
      </c>
      <c r="BT86" s="935">
        <f t="shared" si="130"/>
        <v>0</v>
      </c>
      <c r="BU86" s="935">
        <f t="shared" si="130"/>
        <v>0</v>
      </c>
      <c r="BV86" s="935">
        <f t="shared" si="130"/>
        <v>0</v>
      </c>
      <c r="BW86" s="935">
        <f t="shared" si="130"/>
        <v>0</v>
      </c>
      <c r="BX86" s="936">
        <f t="shared" si="130"/>
        <v>0</v>
      </c>
      <c r="BY86" s="935">
        <f t="shared" si="130"/>
        <v>0</v>
      </c>
      <c r="BZ86" s="935">
        <f t="shared" si="130"/>
        <v>5895930</v>
      </c>
      <c r="CA86" s="935">
        <f t="shared" si="130"/>
        <v>0</v>
      </c>
      <c r="CB86" s="935">
        <f t="shared" si="130"/>
        <v>5793334</v>
      </c>
      <c r="CC86" s="936">
        <f t="shared" si="130"/>
        <v>5808334</v>
      </c>
      <c r="CD86" s="935">
        <f t="shared" si="130"/>
        <v>0</v>
      </c>
      <c r="CE86" s="935">
        <f t="shared" si="130"/>
        <v>7095930</v>
      </c>
      <c r="CF86" s="935">
        <f t="shared" si="130"/>
        <v>0</v>
      </c>
      <c r="CG86" s="935">
        <f t="shared" si="130"/>
        <v>7928712</v>
      </c>
      <c r="CH86" s="935">
        <f t="shared" si="130"/>
        <v>6743712</v>
      </c>
    </row>
    <row r="87" spans="1:86" s="927" customFormat="1" ht="15" customHeight="1">
      <c r="A87" s="924" t="s">
        <v>764</v>
      </c>
      <c r="B87" s="924">
        <f t="shared" ref="B87:AG87" si="131">B86+B77</f>
        <v>1120696000</v>
      </c>
      <c r="C87" s="924">
        <f t="shared" si="131"/>
        <v>1120937000</v>
      </c>
      <c r="D87" s="924">
        <f t="shared" si="131"/>
        <v>0</v>
      </c>
      <c r="E87" s="925">
        <f t="shared" si="131"/>
        <v>1191909252</v>
      </c>
      <c r="F87" s="924">
        <f t="shared" si="131"/>
        <v>1191909264</v>
      </c>
      <c r="G87" s="924">
        <f t="shared" si="131"/>
        <v>15484460</v>
      </c>
      <c r="H87" s="924">
        <f t="shared" si="131"/>
        <v>15484460</v>
      </c>
      <c r="I87" s="924">
        <f t="shared" si="131"/>
        <v>0</v>
      </c>
      <c r="J87" s="925">
        <f t="shared" si="131"/>
        <v>22308422</v>
      </c>
      <c r="K87" s="926">
        <f t="shared" si="131"/>
        <v>22308422</v>
      </c>
      <c r="L87" s="924">
        <f t="shared" si="131"/>
        <v>101679698</v>
      </c>
      <c r="M87" s="924">
        <f t="shared" si="131"/>
        <v>101679698</v>
      </c>
      <c r="N87" s="924">
        <f t="shared" si="131"/>
        <v>504499</v>
      </c>
      <c r="O87" s="925">
        <f t="shared" si="131"/>
        <v>78386781</v>
      </c>
      <c r="P87" s="926">
        <f t="shared" si="131"/>
        <v>78386781</v>
      </c>
      <c r="Q87" s="924">
        <f t="shared" si="131"/>
        <v>130409100</v>
      </c>
      <c r="R87" s="924">
        <f t="shared" si="131"/>
        <v>131609100</v>
      </c>
      <c r="S87" s="924">
        <f t="shared" si="131"/>
        <v>-4303575</v>
      </c>
      <c r="T87" s="925">
        <f t="shared" si="131"/>
        <v>161964816</v>
      </c>
      <c r="U87" s="924">
        <f t="shared" si="131"/>
        <v>160080951</v>
      </c>
      <c r="V87" s="924">
        <f t="shared" si="131"/>
        <v>3649518</v>
      </c>
      <c r="W87" s="924">
        <f t="shared" si="131"/>
        <v>3649518</v>
      </c>
      <c r="X87" s="924">
        <f t="shared" si="131"/>
        <v>418481</v>
      </c>
      <c r="Y87" s="925">
        <f t="shared" si="131"/>
        <v>4177231</v>
      </c>
      <c r="Z87" s="926">
        <f t="shared" si="131"/>
        <v>4177231</v>
      </c>
      <c r="AA87" s="924">
        <f t="shared" si="131"/>
        <v>13824653</v>
      </c>
      <c r="AB87" s="924">
        <f t="shared" si="131"/>
        <v>13824653</v>
      </c>
      <c r="AC87" s="924">
        <f t="shared" si="131"/>
        <v>0</v>
      </c>
      <c r="AD87" s="925">
        <f t="shared" si="131"/>
        <v>14361845</v>
      </c>
      <c r="AE87" s="926">
        <f t="shared" si="131"/>
        <v>14361845</v>
      </c>
      <c r="AF87" s="924">
        <f t="shared" si="131"/>
        <v>97500</v>
      </c>
      <c r="AG87" s="924">
        <f t="shared" si="131"/>
        <v>97500</v>
      </c>
      <c r="AH87" s="924">
        <f t="shared" ref="AH87:BM87" si="132">AH86+AH77</f>
        <v>0</v>
      </c>
      <c r="AI87" s="925">
        <f t="shared" si="132"/>
        <v>574193</v>
      </c>
      <c r="AJ87" s="926">
        <f t="shared" si="132"/>
        <v>574193</v>
      </c>
      <c r="AK87" s="924">
        <f t="shared" si="132"/>
        <v>122000</v>
      </c>
      <c r="AL87" s="924">
        <f t="shared" si="132"/>
        <v>122000</v>
      </c>
      <c r="AM87" s="924">
        <f t="shared" si="132"/>
        <v>0</v>
      </c>
      <c r="AN87" s="925">
        <f t="shared" si="132"/>
        <v>225338</v>
      </c>
      <c r="AO87" s="926">
        <f t="shared" si="132"/>
        <v>225338</v>
      </c>
      <c r="AP87" s="924">
        <f t="shared" si="132"/>
        <v>4069052</v>
      </c>
      <c r="AQ87" s="924">
        <f t="shared" si="132"/>
        <v>4069052</v>
      </c>
      <c r="AR87" s="924">
        <f t="shared" si="132"/>
        <v>516150</v>
      </c>
      <c r="AS87" s="925">
        <f t="shared" si="132"/>
        <v>5174120</v>
      </c>
      <c r="AT87" s="926">
        <f t="shared" si="132"/>
        <v>5174120</v>
      </c>
      <c r="AU87" s="924">
        <f t="shared" si="132"/>
        <v>2257793</v>
      </c>
      <c r="AV87" s="924">
        <f t="shared" si="132"/>
        <v>2257793</v>
      </c>
      <c r="AW87" s="924">
        <f t="shared" si="132"/>
        <v>354323</v>
      </c>
      <c r="AX87" s="925">
        <f t="shared" si="132"/>
        <v>2719331</v>
      </c>
      <c r="AY87" s="926">
        <f t="shared" si="132"/>
        <v>2719331</v>
      </c>
      <c r="AZ87" s="924">
        <f t="shared" si="132"/>
        <v>35000</v>
      </c>
      <c r="BA87" s="924">
        <f t="shared" si="132"/>
        <v>35000</v>
      </c>
      <c r="BB87" s="924">
        <f t="shared" si="132"/>
        <v>0</v>
      </c>
      <c r="BC87" s="925">
        <f t="shared" si="132"/>
        <v>110090</v>
      </c>
      <c r="BD87" s="926">
        <f t="shared" si="132"/>
        <v>110090</v>
      </c>
      <c r="BE87" s="924">
        <f t="shared" si="132"/>
        <v>2844344</v>
      </c>
      <c r="BF87" s="924">
        <f t="shared" si="132"/>
        <v>2844344</v>
      </c>
      <c r="BG87" s="924">
        <f t="shared" si="132"/>
        <v>390065</v>
      </c>
      <c r="BH87" s="925">
        <f t="shared" si="132"/>
        <v>2777633</v>
      </c>
      <c r="BI87" s="926">
        <f t="shared" si="132"/>
        <v>2777633</v>
      </c>
      <c r="BJ87" s="924">
        <f t="shared" si="132"/>
        <v>5399000</v>
      </c>
      <c r="BK87" s="924">
        <f t="shared" si="132"/>
        <v>5399000</v>
      </c>
      <c r="BL87" s="924">
        <f t="shared" si="132"/>
        <v>0</v>
      </c>
      <c r="BM87" s="925">
        <f t="shared" si="132"/>
        <v>4533124</v>
      </c>
      <c r="BN87" s="926">
        <f t="shared" ref="BN87:CH87" si="133">BN86+BN77</f>
        <v>4533124</v>
      </c>
      <c r="BO87" s="924">
        <f t="shared" si="133"/>
        <v>3420499</v>
      </c>
      <c r="BP87" s="924">
        <f t="shared" si="133"/>
        <v>3420499</v>
      </c>
      <c r="BQ87" s="924">
        <f t="shared" si="133"/>
        <v>199563</v>
      </c>
      <c r="BR87" s="925">
        <f t="shared" si="133"/>
        <v>3390746</v>
      </c>
      <c r="BS87" s="926">
        <f t="shared" si="133"/>
        <v>3390746</v>
      </c>
      <c r="BT87" s="924">
        <f t="shared" si="133"/>
        <v>7354809</v>
      </c>
      <c r="BU87" s="924">
        <f t="shared" si="133"/>
        <v>7354809</v>
      </c>
      <c r="BV87" s="924">
        <f t="shared" si="133"/>
        <v>0</v>
      </c>
      <c r="BW87" s="925">
        <f t="shared" si="133"/>
        <v>6352377</v>
      </c>
      <c r="BX87" s="926">
        <f t="shared" si="133"/>
        <v>6352377</v>
      </c>
      <c r="BY87" s="924">
        <f t="shared" si="133"/>
        <v>325617361</v>
      </c>
      <c r="BZ87" s="924">
        <f t="shared" si="133"/>
        <v>372013071</v>
      </c>
      <c r="CA87" s="924">
        <f t="shared" si="133"/>
        <v>1193396</v>
      </c>
      <c r="CB87" s="925">
        <f t="shared" si="133"/>
        <v>387457379</v>
      </c>
      <c r="CC87" s="926">
        <f t="shared" si="133"/>
        <v>387467379</v>
      </c>
      <c r="CD87" s="924">
        <f t="shared" si="133"/>
        <v>1736960787</v>
      </c>
      <c r="CE87" s="924">
        <f t="shared" si="133"/>
        <v>1784797497</v>
      </c>
      <c r="CF87" s="924">
        <f t="shared" si="133"/>
        <v>-727098</v>
      </c>
      <c r="CG87" s="924">
        <f t="shared" si="133"/>
        <v>1886422678</v>
      </c>
      <c r="CH87" s="924">
        <f t="shared" si="133"/>
        <v>1884548825</v>
      </c>
    </row>
    <row r="88" spans="1:86" ht="27.75" hidden="1" customHeight="1">
      <c r="A88" s="634" t="s">
        <v>765</v>
      </c>
      <c r="B88" s="634"/>
      <c r="C88" s="921">
        <v>0</v>
      </c>
      <c r="D88" s="922"/>
      <c r="E88" s="909">
        <f t="shared" ref="E88:E95" si="134">SUM(C88+D88)</f>
        <v>0</v>
      </c>
      <c r="F88" s="928"/>
      <c r="G88" s="928"/>
      <c r="H88" s="921">
        <v>0</v>
      </c>
      <c r="I88" s="922"/>
      <c r="J88" s="909">
        <f t="shared" ref="J88:J98" si="135">SUM(H88+I88)</f>
        <v>0</v>
      </c>
      <c r="K88" s="910"/>
      <c r="L88" s="928"/>
      <c r="M88" s="907">
        <v>0</v>
      </c>
      <c r="N88" s="908"/>
      <c r="O88" s="909">
        <f t="shared" ref="O88:O98" si="136">SUM(M88+N88)</f>
        <v>0</v>
      </c>
      <c r="P88" s="910"/>
      <c r="Q88" s="928"/>
      <c r="R88" s="921"/>
      <c r="S88" s="908"/>
      <c r="T88" s="909">
        <f t="shared" ref="T88:T98" si="137">SUM(R88+S88)</f>
        <v>0</v>
      </c>
      <c r="U88" s="928"/>
      <c r="V88" s="928"/>
      <c r="W88" s="914">
        <v>0</v>
      </c>
      <c r="X88" s="923"/>
      <c r="Y88" s="914">
        <f t="shared" ref="Y88:Y98" si="138">SUM(W88+X88)</f>
        <v>0</v>
      </c>
      <c r="Z88" s="910"/>
      <c r="AA88" s="929"/>
      <c r="AB88" s="914">
        <v>0</v>
      </c>
      <c r="AC88" s="923"/>
      <c r="AD88" s="914">
        <f t="shared" ref="AD88:AD98" si="139">SUM(AB88+AC88)</f>
        <v>0</v>
      </c>
      <c r="AE88" s="910"/>
      <c r="AF88" s="929"/>
      <c r="AG88" s="914">
        <v>0</v>
      </c>
      <c r="AH88" s="923"/>
      <c r="AI88" s="914">
        <f t="shared" ref="AI88:AI98" si="140">SUM(AG88+AH88)</f>
        <v>0</v>
      </c>
      <c r="AJ88" s="910"/>
      <c r="AK88" s="929"/>
      <c r="AL88" s="914">
        <v>0</v>
      </c>
      <c r="AM88" s="923"/>
      <c r="AN88" s="914">
        <f t="shared" ref="AN88:AN95" si="141">SUM(AL88+AM88)</f>
        <v>0</v>
      </c>
      <c r="AO88" s="910"/>
      <c r="AP88" s="929"/>
      <c r="AQ88" s="914">
        <v>0</v>
      </c>
      <c r="AR88" s="923"/>
      <c r="AS88" s="914">
        <f t="shared" ref="AS88:AS98" si="142">SUM(AQ88+AR88)</f>
        <v>0</v>
      </c>
      <c r="AT88" s="910"/>
      <c r="AU88" s="929"/>
      <c r="AV88" s="914">
        <v>0</v>
      </c>
      <c r="AW88" s="923"/>
      <c r="AX88" s="914">
        <f t="shared" ref="AX88:AX98" si="143">SUM(AV88+AW88)</f>
        <v>0</v>
      </c>
      <c r="AY88" s="910"/>
      <c r="AZ88" s="929"/>
      <c r="BA88" s="914">
        <v>0</v>
      </c>
      <c r="BB88" s="923"/>
      <c r="BC88" s="914">
        <f t="shared" ref="BC88:BC98" si="144">SUM(BA88+BB88)</f>
        <v>0</v>
      </c>
      <c r="BD88" s="910"/>
      <c r="BE88" s="929"/>
      <c r="BF88" s="914">
        <v>0</v>
      </c>
      <c r="BG88" s="923"/>
      <c r="BH88" s="914">
        <f t="shared" ref="BH88:BH98" si="145">SUM(BF88+BG88)</f>
        <v>0</v>
      </c>
      <c r="BI88" s="910"/>
      <c r="BJ88" s="929"/>
      <c r="BK88" s="914">
        <v>0</v>
      </c>
      <c r="BL88" s="923"/>
      <c r="BM88" s="914">
        <f t="shared" ref="BM88:BM98" si="146">SUM(BK88+BL88)</f>
        <v>0</v>
      </c>
      <c r="BN88" s="910"/>
      <c r="BO88" s="929"/>
      <c r="BP88" s="914">
        <v>0</v>
      </c>
      <c r="BQ88" s="923"/>
      <c r="BR88" s="914">
        <f t="shared" ref="BR88:BR98" si="147">SUM(BP88+BQ88)</f>
        <v>0</v>
      </c>
      <c r="BS88" s="910"/>
      <c r="BT88" s="929"/>
      <c r="BU88" s="914">
        <v>0</v>
      </c>
      <c r="BV88" s="923"/>
      <c r="BW88" s="914">
        <f t="shared" ref="BW88:BW98" si="148">SUM(BU88+BV88)</f>
        <v>0</v>
      </c>
      <c r="BX88" s="910"/>
      <c r="BY88" s="929"/>
      <c r="BZ88" s="914">
        <v>0</v>
      </c>
      <c r="CA88" s="923"/>
      <c r="CB88" s="914">
        <f t="shared" ref="CB88:CB98" si="149">SUM(BZ88+CA88)</f>
        <v>0</v>
      </c>
      <c r="CC88" s="910"/>
      <c r="CD88" s="933">
        <f t="shared" ref="CD88:CD103" si="150">SUM(B88+G88+L88+Q88+V88+AA88+AF88+AK88+AP88+AU88+AZ88+BE88+BJ88+BO88+BT88+BY88)</f>
        <v>0</v>
      </c>
      <c r="CE88" s="916">
        <f t="shared" ref="CE88:CE103" si="151">SUM(C88+H88+M88+R88+W88+AB88+AG88+AL88+AQ88+AV88+BA88+BF88+BK88+BP88+BU88+BZ88)</f>
        <v>0</v>
      </c>
      <c r="CF88" s="917">
        <f t="shared" ref="CF88:CF103" si="152">SUM(D88+I88+N88+S88+X88+AC88+AH88+AM88+AR88+AW88+BB88+BG88+BL88+BQ88+BV88+CA88)</f>
        <v>0</v>
      </c>
      <c r="CG88" s="930">
        <f t="shared" ref="CG88:CG95" si="153">SUM(CE88+CF88)</f>
        <v>0</v>
      </c>
      <c r="CH88" s="933"/>
    </row>
    <row r="89" spans="1:86" ht="27.75" hidden="1" customHeight="1">
      <c r="A89" s="380" t="s">
        <v>766</v>
      </c>
      <c r="B89" s="380"/>
      <c r="C89" s="921">
        <v>0</v>
      </c>
      <c r="D89" s="922"/>
      <c r="E89" s="909">
        <f t="shared" si="134"/>
        <v>0</v>
      </c>
      <c r="F89" s="928"/>
      <c r="G89" s="928"/>
      <c r="H89" s="921">
        <v>0</v>
      </c>
      <c r="I89" s="922"/>
      <c r="J89" s="909">
        <f t="shared" si="135"/>
        <v>0</v>
      </c>
      <c r="K89" s="910"/>
      <c r="L89" s="928"/>
      <c r="M89" s="907">
        <v>0</v>
      </c>
      <c r="N89" s="908"/>
      <c r="O89" s="909">
        <f t="shared" si="136"/>
        <v>0</v>
      </c>
      <c r="P89" s="910"/>
      <c r="Q89" s="928"/>
      <c r="R89" s="921"/>
      <c r="S89" s="908"/>
      <c r="T89" s="909">
        <f t="shared" si="137"/>
        <v>0</v>
      </c>
      <c r="U89" s="928"/>
      <c r="V89" s="928"/>
      <c r="W89" s="914">
        <v>0</v>
      </c>
      <c r="X89" s="923"/>
      <c r="Y89" s="914">
        <f t="shared" si="138"/>
        <v>0</v>
      </c>
      <c r="Z89" s="910"/>
      <c r="AA89" s="929"/>
      <c r="AB89" s="914">
        <v>0</v>
      </c>
      <c r="AC89" s="923"/>
      <c r="AD89" s="914">
        <f t="shared" si="139"/>
        <v>0</v>
      </c>
      <c r="AE89" s="910"/>
      <c r="AF89" s="929"/>
      <c r="AG89" s="914">
        <v>0</v>
      </c>
      <c r="AH89" s="923"/>
      <c r="AI89" s="914">
        <f t="shared" si="140"/>
        <v>0</v>
      </c>
      <c r="AJ89" s="910"/>
      <c r="AK89" s="929"/>
      <c r="AL89" s="914">
        <v>0</v>
      </c>
      <c r="AM89" s="923"/>
      <c r="AN89" s="914">
        <f t="shared" si="141"/>
        <v>0</v>
      </c>
      <c r="AO89" s="910"/>
      <c r="AP89" s="929"/>
      <c r="AQ89" s="914">
        <v>0</v>
      </c>
      <c r="AR89" s="923"/>
      <c r="AS89" s="914">
        <f t="shared" si="142"/>
        <v>0</v>
      </c>
      <c r="AT89" s="910"/>
      <c r="AU89" s="929"/>
      <c r="AV89" s="914">
        <v>0</v>
      </c>
      <c r="AW89" s="923"/>
      <c r="AX89" s="914">
        <f t="shared" si="143"/>
        <v>0</v>
      </c>
      <c r="AY89" s="910"/>
      <c r="AZ89" s="929"/>
      <c r="BA89" s="914">
        <v>0</v>
      </c>
      <c r="BB89" s="923"/>
      <c r="BC89" s="914">
        <f t="shared" si="144"/>
        <v>0</v>
      </c>
      <c r="BD89" s="910"/>
      <c r="BE89" s="929"/>
      <c r="BF89" s="914">
        <v>0</v>
      </c>
      <c r="BG89" s="923"/>
      <c r="BH89" s="914">
        <f t="shared" si="145"/>
        <v>0</v>
      </c>
      <c r="BI89" s="910"/>
      <c r="BJ89" s="929"/>
      <c r="BK89" s="914">
        <v>0</v>
      </c>
      <c r="BL89" s="923"/>
      <c r="BM89" s="914">
        <f t="shared" si="146"/>
        <v>0</v>
      </c>
      <c r="BN89" s="910"/>
      <c r="BO89" s="929"/>
      <c r="BP89" s="914">
        <v>0</v>
      </c>
      <c r="BQ89" s="923"/>
      <c r="BR89" s="914">
        <f t="shared" si="147"/>
        <v>0</v>
      </c>
      <c r="BS89" s="910"/>
      <c r="BT89" s="929"/>
      <c r="BU89" s="914">
        <v>0</v>
      </c>
      <c r="BV89" s="923"/>
      <c r="BW89" s="914">
        <f t="shared" si="148"/>
        <v>0</v>
      </c>
      <c r="BX89" s="910"/>
      <c r="BY89" s="929"/>
      <c r="BZ89" s="914">
        <v>0</v>
      </c>
      <c r="CA89" s="923"/>
      <c r="CB89" s="914">
        <f t="shared" si="149"/>
        <v>0</v>
      </c>
      <c r="CC89" s="910"/>
      <c r="CD89" s="933">
        <f t="shared" si="150"/>
        <v>0</v>
      </c>
      <c r="CE89" s="916">
        <f t="shared" si="151"/>
        <v>0</v>
      </c>
      <c r="CF89" s="917">
        <f t="shared" si="152"/>
        <v>0</v>
      </c>
      <c r="CG89" s="930">
        <f t="shared" si="153"/>
        <v>0</v>
      </c>
      <c r="CH89" s="933"/>
    </row>
    <row r="90" spans="1:86" ht="27.75" hidden="1" customHeight="1">
      <c r="A90" s="380" t="s">
        <v>767</v>
      </c>
      <c r="B90" s="380"/>
      <c r="C90" s="921">
        <v>0</v>
      </c>
      <c r="D90" s="922"/>
      <c r="E90" s="909">
        <f t="shared" si="134"/>
        <v>0</v>
      </c>
      <c r="F90" s="928"/>
      <c r="G90" s="928"/>
      <c r="H90" s="921">
        <v>0</v>
      </c>
      <c r="I90" s="922"/>
      <c r="J90" s="909">
        <f t="shared" si="135"/>
        <v>0</v>
      </c>
      <c r="K90" s="910"/>
      <c r="L90" s="928"/>
      <c r="M90" s="907">
        <v>0</v>
      </c>
      <c r="N90" s="908"/>
      <c r="O90" s="909">
        <f t="shared" si="136"/>
        <v>0</v>
      </c>
      <c r="P90" s="910"/>
      <c r="Q90" s="928"/>
      <c r="R90" s="921"/>
      <c r="S90" s="908"/>
      <c r="T90" s="909">
        <f t="shared" si="137"/>
        <v>0</v>
      </c>
      <c r="U90" s="928"/>
      <c r="V90" s="928"/>
      <c r="W90" s="914">
        <v>0</v>
      </c>
      <c r="X90" s="923"/>
      <c r="Y90" s="914">
        <f t="shared" si="138"/>
        <v>0</v>
      </c>
      <c r="Z90" s="910"/>
      <c r="AA90" s="929"/>
      <c r="AB90" s="914">
        <v>0</v>
      </c>
      <c r="AC90" s="923"/>
      <c r="AD90" s="914">
        <f t="shared" si="139"/>
        <v>0</v>
      </c>
      <c r="AE90" s="910"/>
      <c r="AF90" s="929"/>
      <c r="AG90" s="914">
        <v>0</v>
      </c>
      <c r="AH90" s="923"/>
      <c r="AI90" s="914">
        <f t="shared" si="140"/>
        <v>0</v>
      </c>
      <c r="AJ90" s="910"/>
      <c r="AK90" s="929"/>
      <c r="AL90" s="914">
        <v>0</v>
      </c>
      <c r="AM90" s="923"/>
      <c r="AN90" s="914">
        <f t="shared" si="141"/>
        <v>0</v>
      </c>
      <c r="AO90" s="910"/>
      <c r="AP90" s="929"/>
      <c r="AQ90" s="914">
        <v>0</v>
      </c>
      <c r="AR90" s="923"/>
      <c r="AS90" s="914">
        <f t="shared" si="142"/>
        <v>0</v>
      </c>
      <c r="AT90" s="910"/>
      <c r="AU90" s="929"/>
      <c r="AV90" s="914">
        <v>0</v>
      </c>
      <c r="AW90" s="923"/>
      <c r="AX90" s="914">
        <f t="shared" si="143"/>
        <v>0</v>
      </c>
      <c r="AY90" s="910"/>
      <c r="AZ90" s="929"/>
      <c r="BA90" s="914">
        <v>0</v>
      </c>
      <c r="BB90" s="923"/>
      <c r="BC90" s="914">
        <f t="shared" si="144"/>
        <v>0</v>
      </c>
      <c r="BD90" s="910"/>
      <c r="BE90" s="929"/>
      <c r="BF90" s="914">
        <v>0</v>
      </c>
      <c r="BG90" s="923"/>
      <c r="BH90" s="914">
        <f t="shared" si="145"/>
        <v>0</v>
      </c>
      <c r="BI90" s="910"/>
      <c r="BJ90" s="929"/>
      <c r="BK90" s="914">
        <v>0</v>
      </c>
      <c r="BL90" s="923"/>
      <c r="BM90" s="914">
        <f t="shared" si="146"/>
        <v>0</v>
      </c>
      <c r="BN90" s="910"/>
      <c r="BO90" s="929"/>
      <c r="BP90" s="914">
        <v>0</v>
      </c>
      <c r="BQ90" s="923"/>
      <c r="BR90" s="914">
        <f t="shared" si="147"/>
        <v>0</v>
      </c>
      <c r="BS90" s="910"/>
      <c r="BT90" s="929"/>
      <c r="BU90" s="914">
        <v>0</v>
      </c>
      <c r="BV90" s="923"/>
      <c r="BW90" s="914">
        <f t="shared" si="148"/>
        <v>0</v>
      </c>
      <c r="BX90" s="910"/>
      <c r="BY90" s="929"/>
      <c r="BZ90" s="914">
        <v>0</v>
      </c>
      <c r="CA90" s="923"/>
      <c r="CB90" s="914">
        <f t="shared" si="149"/>
        <v>0</v>
      </c>
      <c r="CC90" s="910"/>
      <c r="CD90" s="933">
        <f t="shared" si="150"/>
        <v>0</v>
      </c>
      <c r="CE90" s="916">
        <f t="shared" si="151"/>
        <v>0</v>
      </c>
      <c r="CF90" s="917">
        <f t="shared" si="152"/>
        <v>0</v>
      </c>
      <c r="CG90" s="930">
        <f t="shared" si="153"/>
        <v>0</v>
      </c>
      <c r="CH90" s="933"/>
    </row>
    <row r="91" spans="1:86" ht="27.75" hidden="1" customHeight="1">
      <c r="A91" s="380" t="s">
        <v>768</v>
      </c>
      <c r="B91" s="380"/>
      <c r="C91" s="921">
        <v>0</v>
      </c>
      <c r="D91" s="922"/>
      <c r="E91" s="909">
        <f t="shared" si="134"/>
        <v>0</v>
      </c>
      <c r="F91" s="928"/>
      <c r="G91" s="928"/>
      <c r="H91" s="921">
        <v>0</v>
      </c>
      <c r="I91" s="922"/>
      <c r="J91" s="909">
        <f t="shared" si="135"/>
        <v>0</v>
      </c>
      <c r="K91" s="910"/>
      <c r="L91" s="928"/>
      <c r="M91" s="907">
        <v>0</v>
      </c>
      <c r="N91" s="908"/>
      <c r="O91" s="909">
        <f t="shared" si="136"/>
        <v>0</v>
      </c>
      <c r="P91" s="910"/>
      <c r="Q91" s="928"/>
      <c r="R91" s="921"/>
      <c r="S91" s="908"/>
      <c r="T91" s="909">
        <f t="shared" si="137"/>
        <v>0</v>
      </c>
      <c r="U91" s="928"/>
      <c r="V91" s="928"/>
      <c r="W91" s="914">
        <v>0</v>
      </c>
      <c r="X91" s="923"/>
      <c r="Y91" s="914">
        <f t="shared" si="138"/>
        <v>0</v>
      </c>
      <c r="Z91" s="910"/>
      <c r="AA91" s="929"/>
      <c r="AB91" s="914">
        <v>0</v>
      </c>
      <c r="AC91" s="923"/>
      <c r="AD91" s="914">
        <f t="shared" si="139"/>
        <v>0</v>
      </c>
      <c r="AE91" s="910"/>
      <c r="AF91" s="929"/>
      <c r="AG91" s="914">
        <v>0</v>
      </c>
      <c r="AH91" s="923"/>
      <c r="AI91" s="914">
        <f t="shared" si="140"/>
        <v>0</v>
      </c>
      <c r="AJ91" s="910"/>
      <c r="AK91" s="929"/>
      <c r="AL91" s="914">
        <v>0</v>
      </c>
      <c r="AM91" s="923"/>
      <c r="AN91" s="914">
        <f t="shared" si="141"/>
        <v>0</v>
      </c>
      <c r="AO91" s="910"/>
      <c r="AP91" s="929"/>
      <c r="AQ91" s="914">
        <v>0</v>
      </c>
      <c r="AR91" s="923"/>
      <c r="AS91" s="914">
        <f t="shared" si="142"/>
        <v>0</v>
      </c>
      <c r="AT91" s="910"/>
      <c r="AU91" s="929"/>
      <c r="AV91" s="914">
        <v>0</v>
      </c>
      <c r="AW91" s="923"/>
      <c r="AX91" s="914">
        <f t="shared" si="143"/>
        <v>0</v>
      </c>
      <c r="AY91" s="910"/>
      <c r="AZ91" s="929"/>
      <c r="BA91" s="914">
        <v>0</v>
      </c>
      <c r="BB91" s="923"/>
      <c r="BC91" s="914">
        <f t="shared" si="144"/>
        <v>0</v>
      </c>
      <c r="BD91" s="910"/>
      <c r="BE91" s="929"/>
      <c r="BF91" s="914">
        <v>0</v>
      </c>
      <c r="BG91" s="923"/>
      <c r="BH91" s="914">
        <f t="shared" si="145"/>
        <v>0</v>
      </c>
      <c r="BI91" s="910"/>
      <c r="BJ91" s="929"/>
      <c r="BK91" s="914">
        <v>0</v>
      </c>
      <c r="BL91" s="923"/>
      <c r="BM91" s="914">
        <f t="shared" si="146"/>
        <v>0</v>
      </c>
      <c r="BN91" s="910"/>
      <c r="BO91" s="929"/>
      <c r="BP91" s="914">
        <v>0</v>
      </c>
      <c r="BQ91" s="923"/>
      <c r="BR91" s="914">
        <f t="shared" si="147"/>
        <v>0</v>
      </c>
      <c r="BS91" s="910"/>
      <c r="BT91" s="929"/>
      <c r="BU91" s="914">
        <v>0</v>
      </c>
      <c r="BV91" s="923"/>
      <c r="BW91" s="914">
        <f t="shared" si="148"/>
        <v>0</v>
      </c>
      <c r="BX91" s="910"/>
      <c r="BY91" s="929"/>
      <c r="BZ91" s="914">
        <v>0</v>
      </c>
      <c r="CA91" s="923"/>
      <c r="CB91" s="914">
        <f t="shared" si="149"/>
        <v>0</v>
      </c>
      <c r="CC91" s="910"/>
      <c r="CD91" s="933">
        <f t="shared" si="150"/>
        <v>0</v>
      </c>
      <c r="CE91" s="916">
        <f t="shared" si="151"/>
        <v>0</v>
      </c>
      <c r="CF91" s="917">
        <f t="shared" si="152"/>
        <v>0</v>
      </c>
      <c r="CG91" s="930">
        <f t="shared" si="153"/>
        <v>0</v>
      </c>
      <c r="CH91" s="933"/>
    </row>
    <row r="92" spans="1:86" ht="27.75" hidden="1" customHeight="1">
      <c r="A92" s="380" t="s">
        <v>769</v>
      </c>
      <c r="B92" s="380"/>
      <c r="C92" s="921">
        <v>0</v>
      </c>
      <c r="D92" s="922"/>
      <c r="E92" s="909">
        <f t="shared" si="134"/>
        <v>0</v>
      </c>
      <c r="F92" s="928"/>
      <c r="G92" s="928"/>
      <c r="H92" s="921">
        <v>0</v>
      </c>
      <c r="I92" s="922"/>
      <c r="J92" s="909">
        <f t="shared" si="135"/>
        <v>0</v>
      </c>
      <c r="K92" s="910"/>
      <c r="L92" s="928"/>
      <c r="M92" s="907">
        <v>0</v>
      </c>
      <c r="N92" s="908"/>
      <c r="O92" s="909">
        <f t="shared" si="136"/>
        <v>0</v>
      </c>
      <c r="P92" s="910"/>
      <c r="Q92" s="928"/>
      <c r="R92" s="921"/>
      <c r="S92" s="908"/>
      <c r="T92" s="909">
        <f t="shared" si="137"/>
        <v>0</v>
      </c>
      <c r="U92" s="928"/>
      <c r="V92" s="928"/>
      <c r="W92" s="914">
        <v>0</v>
      </c>
      <c r="X92" s="923"/>
      <c r="Y92" s="914">
        <f t="shared" si="138"/>
        <v>0</v>
      </c>
      <c r="Z92" s="910"/>
      <c r="AA92" s="929"/>
      <c r="AB92" s="914">
        <v>0</v>
      </c>
      <c r="AC92" s="923"/>
      <c r="AD92" s="914">
        <f t="shared" si="139"/>
        <v>0</v>
      </c>
      <c r="AE92" s="910"/>
      <c r="AF92" s="929"/>
      <c r="AG92" s="914">
        <v>0</v>
      </c>
      <c r="AH92" s="923"/>
      <c r="AI92" s="914">
        <f t="shared" si="140"/>
        <v>0</v>
      </c>
      <c r="AJ92" s="910"/>
      <c r="AK92" s="929"/>
      <c r="AL92" s="914">
        <v>0</v>
      </c>
      <c r="AM92" s="923"/>
      <c r="AN92" s="914">
        <f t="shared" si="141"/>
        <v>0</v>
      </c>
      <c r="AO92" s="910"/>
      <c r="AP92" s="929"/>
      <c r="AQ92" s="914">
        <v>0</v>
      </c>
      <c r="AR92" s="923"/>
      <c r="AS92" s="914">
        <f t="shared" si="142"/>
        <v>0</v>
      </c>
      <c r="AT92" s="910"/>
      <c r="AU92" s="929"/>
      <c r="AV92" s="914">
        <v>0</v>
      </c>
      <c r="AW92" s="923"/>
      <c r="AX92" s="914">
        <f t="shared" si="143"/>
        <v>0</v>
      </c>
      <c r="AY92" s="910"/>
      <c r="AZ92" s="929"/>
      <c r="BA92" s="914">
        <v>0</v>
      </c>
      <c r="BB92" s="923"/>
      <c r="BC92" s="914">
        <f t="shared" si="144"/>
        <v>0</v>
      </c>
      <c r="BD92" s="910"/>
      <c r="BE92" s="929"/>
      <c r="BF92" s="914">
        <v>0</v>
      </c>
      <c r="BG92" s="923"/>
      <c r="BH92" s="914">
        <f t="shared" si="145"/>
        <v>0</v>
      </c>
      <c r="BI92" s="910"/>
      <c r="BJ92" s="929"/>
      <c r="BK92" s="914">
        <v>0</v>
      </c>
      <c r="BL92" s="923"/>
      <c r="BM92" s="914">
        <f t="shared" si="146"/>
        <v>0</v>
      </c>
      <c r="BN92" s="910"/>
      <c r="BO92" s="929"/>
      <c r="BP92" s="914">
        <v>0</v>
      </c>
      <c r="BQ92" s="923"/>
      <c r="BR92" s="914">
        <f t="shared" si="147"/>
        <v>0</v>
      </c>
      <c r="BS92" s="910"/>
      <c r="BT92" s="929"/>
      <c r="BU92" s="914">
        <v>0</v>
      </c>
      <c r="BV92" s="923"/>
      <c r="BW92" s="914">
        <f t="shared" si="148"/>
        <v>0</v>
      </c>
      <c r="BX92" s="910"/>
      <c r="BY92" s="929"/>
      <c r="BZ92" s="914">
        <v>0</v>
      </c>
      <c r="CA92" s="923"/>
      <c r="CB92" s="914">
        <f t="shared" si="149"/>
        <v>0</v>
      </c>
      <c r="CC92" s="910"/>
      <c r="CD92" s="933">
        <f t="shared" si="150"/>
        <v>0</v>
      </c>
      <c r="CE92" s="916">
        <f t="shared" si="151"/>
        <v>0</v>
      </c>
      <c r="CF92" s="917">
        <f t="shared" si="152"/>
        <v>0</v>
      </c>
      <c r="CG92" s="930">
        <f t="shared" si="153"/>
        <v>0</v>
      </c>
      <c r="CH92" s="933"/>
    </row>
    <row r="93" spans="1:86" ht="27.75" hidden="1" customHeight="1">
      <c r="A93" s="380" t="s">
        <v>770</v>
      </c>
      <c r="B93" s="380"/>
      <c r="C93" s="921">
        <v>0</v>
      </c>
      <c r="D93" s="922"/>
      <c r="E93" s="909">
        <f t="shared" si="134"/>
        <v>0</v>
      </c>
      <c r="F93" s="928"/>
      <c r="G93" s="928"/>
      <c r="H93" s="921">
        <v>0</v>
      </c>
      <c r="I93" s="922"/>
      <c r="J93" s="909">
        <f t="shared" si="135"/>
        <v>0</v>
      </c>
      <c r="K93" s="910"/>
      <c r="L93" s="928"/>
      <c r="M93" s="907">
        <v>0</v>
      </c>
      <c r="N93" s="908"/>
      <c r="O93" s="909">
        <f t="shared" si="136"/>
        <v>0</v>
      </c>
      <c r="P93" s="910"/>
      <c r="Q93" s="928"/>
      <c r="R93" s="921"/>
      <c r="S93" s="908"/>
      <c r="T93" s="909">
        <f t="shared" si="137"/>
        <v>0</v>
      </c>
      <c r="U93" s="928"/>
      <c r="V93" s="928"/>
      <c r="W93" s="914">
        <v>0</v>
      </c>
      <c r="X93" s="923"/>
      <c r="Y93" s="914">
        <f t="shared" si="138"/>
        <v>0</v>
      </c>
      <c r="Z93" s="910"/>
      <c r="AA93" s="929"/>
      <c r="AB93" s="914">
        <v>0</v>
      </c>
      <c r="AC93" s="923"/>
      <c r="AD93" s="914">
        <f t="shared" si="139"/>
        <v>0</v>
      </c>
      <c r="AE93" s="910"/>
      <c r="AF93" s="929"/>
      <c r="AG93" s="914">
        <v>0</v>
      </c>
      <c r="AH93" s="923"/>
      <c r="AI93" s="914">
        <f t="shared" si="140"/>
        <v>0</v>
      </c>
      <c r="AJ93" s="910"/>
      <c r="AK93" s="929"/>
      <c r="AL93" s="914">
        <v>0</v>
      </c>
      <c r="AM93" s="923"/>
      <c r="AN93" s="914">
        <f t="shared" si="141"/>
        <v>0</v>
      </c>
      <c r="AO93" s="910"/>
      <c r="AP93" s="929"/>
      <c r="AQ93" s="914">
        <v>0</v>
      </c>
      <c r="AR93" s="923"/>
      <c r="AS93" s="914">
        <f t="shared" si="142"/>
        <v>0</v>
      </c>
      <c r="AT93" s="910"/>
      <c r="AU93" s="929"/>
      <c r="AV93" s="914">
        <v>0</v>
      </c>
      <c r="AW93" s="923"/>
      <c r="AX93" s="914">
        <f t="shared" si="143"/>
        <v>0</v>
      </c>
      <c r="AY93" s="910"/>
      <c r="AZ93" s="929"/>
      <c r="BA93" s="914">
        <v>0</v>
      </c>
      <c r="BB93" s="923"/>
      <c r="BC93" s="914">
        <f t="shared" si="144"/>
        <v>0</v>
      </c>
      <c r="BD93" s="910"/>
      <c r="BE93" s="929"/>
      <c r="BF93" s="914">
        <v>0</v>
      </c>
      <c r="BG93" s="923"/>
      <c r="BH93" s="914">
        <f t="shared" si="145"/>
        <v>0</v>
      </c>
      <c r="BI93" s="910"/>
      <c r="BJ93" s="929"/>
      <c r="BK93" s="914">
        <v>0</v>
      </c>
      <c r="BL93" s="923"/>
      <c r="BM93" s="914">
        <f t="shared" si="146"/>
        <v>0</v>
      </c>
      <c r="BN93" s="910"/>
      <c r="BO93" s="929"/>
      <c r="BP93" s="914">
        <v>0</v>
      </c>
      <c r="BQ93" s="923"/>
      <c r="BR93" s="914">
        <f t="shared" si="147"/>
        <v>0</v>
      </c>
      <c r="BS93" s="910"/>
      <c r="BT93" s="929"/>
      <c r="BU93" s="914">
        <v>0</v>
      </c>
      <c r="BV93" s="923"/>
      <c r="BW93" s="914">
        <f t="shared" si="148"/>
        <v>0</v>
      </c>
      <c r="BX93" s="910"/>
      <c r="BY93" s="929"/>
      <c r="BZ93" s="914">
        <v>0</v>
      </c>
      <c r="CA93" s="923"/>
      <c r="CB93" s="914">
        <f t="shared" si="149"/>
        <v>0</v>
      </c>
      <c r="CC93" s="910"/>
      <c r="CD93" s="933">
        <f t="shared" si="150"/>
        <v>0</v>
      </c>
      <c r="CE93" s="916">
        <f t="shared" si="151"/>
        <v>0</v>
      </c>
      <c r="CF93" s="917">
        <f t="shared" si="152"/>
        <v>0</v>
      </c>
      <c r="CG93" s="930">
        <f t="shared" si="153"/>
        <v>0</v>
      </c>
      <c r="CH93" s="933"/>
    </row>
    <row r="94" spans="1:86" ht="27.75" hidden="1" customHeight="1">
      <c r="A94" s="380" t="s">
        <v>771</v>
      </c>
      <c r="B94" s="380"/>
      <c r="C94" s="921">
        <v>0</v>
      </c>
      <c r="D94" s="922"/>
      <c r="E94" s="909">
        <f t="shared" si="134"/>
        <v>0</v>
      </c>
      <c r="F94" s="928"/>
      <c r="G94" s="928"/>
      <c r="H94" s="921">
        <v>0</v>
      </c>
      <c r="I94" s="922"/>
      <c r="J94" s="909">
        <f t="shared" si="135"/>
        <v>0</v>
      </c>
      <c r="K94" s="910"/>
      <c r="L94" s="928"/>
      <c r="M94" s="907">
        <v>0</v>
      </c>
      <c r="N94" s="908"/>
      <c r="O94" s="909">
        <f t="shared" si="136"/>
        <v>0</v>
      </c>
      <c r="P94" s="910"/>
      <c r="Q94" s="928"/>
      <c r="R94" s="921"/>
      <c r="S94" s="908"/>
      <c r="T94" s="909">
        <f t="shared" si="137"/>
        <v>0</v>
      </c>
      <c r="U94" s="928"/>
      <c r="V94" s="928"/>
      <c r="W94" s="914">
        <v>0</v>
      </c>
      <c r="X94" s="923"/>
      <c r="Y94" s="914">
        <f t="shared" si="138"/>
        <v>0</v>
      </c>
      <c r="Z94" s="910"/>
      <c r="AA94" s="929"/>
      <c r="AB94" s="914">
        <v>0</v>
      </c>
      <c r="AC94" s="923"/>
      <c r="AD94" s="914">
        <f t="shared" si="139"/>
        <v>0</v>
      </c>
      <c r="AE94" s="910"/>
      <c r="AF94" s="929"/>
      <c r="AG94" s="914">
        <v>0</v>
      </c>
      <c r="AH94" s="923"/>
      <c r="AI94" s="914">
        <f t="shared" si="140"/>
        <v>0</v>
      </c>
      <c r="AJ94" s="910"/>
      <c r="AK94" s="929"/>
      <c r="AL94" s="914">
        <v>0</v>
      </c>
      <c r="AM94" s="923"/>
      <c r="AN94" s="914">
        <f t="shared" si="141"/>
        <v>0</v>
      </c>
      <c r="AO94" s="910"/>
      <c r="AP94" s="929"/>
      <c r="AQ94" s="914">
        <v>0</v>
      </c>
      <c r="AR94" s="923"/>
      <c r="AS94" s="914">
        <f t="shared" si="142"/>
        <v>0</v>
      </c>
      <c r="AT94" s="910"/>
      <c r="AU94" s="929"/>
      <c r="AV94" s="914">
        <v>0</v>
      </c>
      <c r="AW94" s="923"/>
      <c r="AX94" s="914">
        <f t="shared" si="143"/>
        <v>0</v>
      </c>
      <c r="AY94" s="910"/>
      <c r="AZ94" s="929"/>
      <c r="BA94" s="914">
        <v>0</v>
      </c>
      <c r="BB94" s="923"/>
      <c r="BC94" s="914">
        <f t="shared" si="144"/>
        <v>0</v>
      </c>
      <c r="BD94" s="910"/>
      <c r="BE94" s="929"/>
      <c r="BF94" s="914">
        <v>0</v>
      </c>
      <c r="BG94" s="923"/>
      <c r="BH94" s="914">
        <f t="shared" si="145"/>
        <v>0</v>
      </c>
      <c r="BI94" s="910"/>
      <c r="BJ94" s="929"/>
      <c r="BK94" s="914">
        <v>0</v>
      </c>
      <c r="BL94" s="923"/>
      <c r="BM94" s="914">
        <f t="shared" si="146"/>
        <v>0</v>
      </c>
      <c r="BN94" s="910"/>
      <c r="BO94" s="929"/>
      <c r="BP94" s="914">
        <v>0</v>
      </c>
      <c r="BQ94" s="923"/>
      <c r="BR94" s="914">
        <f t="shared" si="147"/>
        <v>0</v>
      </c>
      <c r="BS94" s="910"/>
      <c r="BT94" s="929"/>
      <c r="BU94" s="914">
        <v>0</v>
      </c>
      <c r="BV94" s="923"/>
      <c r="BW94" s="914">
        <f t="shared" si="148"/>
        <v>0</v>
      </c>
      <c r="BX94" s="910"/>
      <c r="BY94" s="929"/>
      <c r="BZ94" s="914">
        <v>0</v>
      </c>
      <c r="CA94" s="923"/>
      <c r="CB94" s="914">
        <f t="shared" si="149"/>
        <v>0</v>
      </c>
      <c r="CC94" s="910"/>
      <c r="CD94" s="933">
        <f t="shared" si="150"/>
        <v>0</v>
      </c>
      <c r="CE94" s="916">
        <f t="shared" si="151"/>
        <v>0</v>
      </c>
      <c r="CF94" s="917">
        <f t="shared" si="152"/>
        <v>0</v>
      </c>
      <c r="CG94" s="930">
        <f t="shared" si="153"/>
        <v>0</v>
      </c>
      <c r="CH94" s="933"/>
    </row>
    <row r="95" spans="1:86" ht="27.75" hidden="1" customHeight="1">
      <c r="A95" s="634" t="s">
        <v>772</v>
      </c>
      <c r="B95" s="634"/>
      <c r="C95" s="921"/>
      <c r="D95" s="922"/>
      <c r="E95" s="909">
        <f t="shared" si="134"/>
        <v>0</v>
      </c>
      <c r="F95" s="928"/>
      <c r="G95" s="928"/>
      <c r="H95" s="921"/>
      <c r="I95" s="922"/>
      <c r="J95" s="909">
        <f t="shared" si="135"/>
        <v>0</v>
      </c>
      <c r="K95" s="910"/>
      <c r="L95" s="928"/>
      <c r="M95" s="907"/>
      <c r="N95" s="908"/>
      <c r="O95" s="909">
        <f t="shared" si="136"/>
        <v>0</v>
      </c>
      <c r="P95" s="910"/>
      <c r="Q95" s="928"/>
      <c r="R95" s="921"/>
      <c r="S95" s="908"/>
      <c r="T95" s="909">
        <f t="shared" si="137"/>
        <v>0</v>
      </c>
      <c r="U95" s="928"/>
      <c r="V95" s="928"/>
      <c r="W95" s="918"/>
      <c r="X95" s="923"/>
      <c r="Y95" s="914">
        <f t="shared" si="138"/>
        <v>0</v>
      </c>
      <c r="Z95" s="910"/>
      <c r="AA95" s="929"/>
      <c r="AB95" s="918"/>
      <c r="AC95" s="923"/>
      <c r="AD95" s="914">
        <f t="shared" si="139"/>
        <v>0</v>
      </c>
      <c r="AE95" s="910"/>
      <c r="AF95" s="929"/>
      <c r="AG95" s="918"/>
      <c r="AH95" s="923"/>
      <c r="AI95" s="914">
        <f t="shared" si="140"/>
        <v>0</v>
      </c>
      <c r="AJ95" s="910"/>
      <c r="AK95" s="929"/>
      <c r="AL95" s="918"/>
      <c r="AM95" s="923"/>
      <c r="AN95" s="914">
        <f t="shared" si="141"/>
        <v>0</v>
      </c>
      <c r="AO95" s="910"/>
      <c r="AP95" s="929"/>
      <c r="AQ95" s="918"/>
      <c r="AR95" s="923"/>
      <c r="AS95" s="914">
        <f t="shared" si="142"/>
        <v>0</v>
      </c>
      <c r="AT95" s="910"/>
      <c r="AU95" s="929"/>
      <c r="AV95" s="918"/>
      <c r="AW95" s="923"/>
      <c r="AX95" s="914">
        <f t="shared" si="143"/>
        <v>0</v>
      </c>
      <c r="AY95" s="910"/>
      <c r="AZ95" s="929"/>
      <c r="BA95" s="918"/>
      <c r="BB95" s="923"/>
      <c r="BC95" s="914">
        <f t="shared" si="144"/>
        <v>0</v>
      </c>
      <c r="BD95" s="910"/>
      <c r="BE95" s="929"/>
      <c r="BF95" s="918"/>
      <c r="BG95" s="923"/>
      <c r="BH95" s="914">
        <f t="shared" si="145"/>
        <v>0</v>
      </c>
      <c r="BI95" s="910"/>
      <c r="BJ95" s="929"/>
      <c r="BK95" s="918"/>
      <c r="BL95" s="923"/>
      <c r="BM95" s="914">
        <f t="shared" si="146"/>
        <v>0</v>
      </c>
      <c r="BN95" s="910"/>
      <c r="BO95" s="929"/>
      <c r="BP95" s="918"/>
      <c r="BQ95" s="923"/>
      <c r="BR95" s="914">
        <f t="shared" si="147"/>
        <v>0</v>
      </c>
      <c r="BS95" s="910"/>
      <c r="BT95" s="929"/>
      <c r="BU95" s="918"/>
      <c r="BV95" s="923"/>
      <c r="BW95" s="914">
        <f t="shared" si="148"/>
        <v>0</v>
      </c>
      <c r="BX95" s="910"/>
      <c r="BY95" s="929"/>
      <c r="BZ95" s="918"/>
      <c r="CA95" s="923"/>
      <c r="CB95" s="914">
        <f t="shared" si="149"/>
        <v>0</v>
      </c>
      <c r="CC95" s="910"/>
      <c r="CD95" s="933">
        <f t="shared" si="150"/>
        <v>0</v>
      </c>
      <c r="CE95" s="916">
        <f t="shared" si="151"/>
        <v>0</v>
      </c>
      <c r="CF95" s="917">
        <f t="shared" si="152"/>
        <v>0</v>
      </c>
      <c r="CG95" s="930">
        <f t="shared" si="153"/>
        <v>0</v>
      </c>
      <c r="CH95" s="933"/>
    </row>
    <row r="96" spans="1:86" s="634" customFormat="1" ht="15" customHeight="1">
      <c r="A96" s="634" t="s">
        <v>773</v>
      </c>
      <c r="C96" s="907">
        <v>82489000</v>
      </c>
      <c r="D96" s="908"/>
      <c r="E96" s="909">
        <v>82488897</v>
      </c>
      <c r="F96" s="909">
        <v>82488897</v>
      </c>
      <c r="G96" s="909"/>
      <c r="H96" s="907">
        <v>16236047</v>
      </c>
      <c r="I96" s="908"/>
      <c r="J96" s="909">
        <f t="shared" si="135"/>
        <v>16236047</v>
      </c>
      <c r="K96" s="910">
        <v>16236047</v>
      </c>
      <c r="L96" s="909"/>
      <c r="M96" s="907">
        <v>18095398</v>
      </c>
      <c r="N96" s="908"/>
      <c r="O96" s="909">
        <f t="shared" si="136"/>
        <v>18095398</v>
      </c>
      <c r="P96" s="910">
        <v>18095398</v>
      </c>
      <c r="Q96" s="909"/>
      <c r="R96" s="907">
        <v>18260000</v>
      </c>
      <c r="S96" s="908"/>
      <c r="T96" s="909">
        <f t="shared" si="137"/>
        <v>18260000</v>
      </c>
      <c r="U96" s="909">
        <v>18260000</v>
      </c>
      <c r="V96" s="909"/>
      <c r="W96" s="912">
        <v>4242352</v>
      </c>
      <c r="X96" s="913"/>
      <c r="Y96" s="914">
        <f t="shared" si="138"/>
        <v>4242352</v>
      </c>
      <c r="Z96" s="910">
        <v>4242352</v>
      </c>
      <c r="AA96" s="914"/>
      <c r="AB96" s="912">
        <v>6536125</v>
      </c>
      <c r="AC96" s="913"/>
      <c r="AD96" s="914">
        <f t="shared" si="139"/>
        <v>6536125</v>
      </c>
      <c r="AE96" s="910">
        <v>6536124</v>
      </c>
      <c r="AF96" s="914"/>
      <c r="AG96" s="912">
        <v>6050970</v>
      </c>
      <c r="AH96" s="913"/>
      <c r="AI96" s="914">
        <f t="shared" si="140"/>
        <v>6050970</v>
      </c>
      <c r="AJ96" s="910">
        <v>6050970</v>
      </c>
      <c r="AK96" s="914"/>
      <c r="AL96" s="912">
        <v>8627410</v>
      </c>
      <c r="AM96" s="913"/>
      <c r="AN96" s="914">
        <v>8627410</v>
      </c>
      <c r="AO96" s="910">
        <v>8627410</v>
      </c>
      <c r="AP96" s="914"/>
      <c r="AQ96" s="912">
        <v>5014967</v>
      </c>
      <c r="AR96" s="913"/>
      <c r="AS96" s="914">
        <f t="shared" si="142"/>
        <v>5014967</v>
      </c>
      <c r="AT96" s="910">
        <v>5014967</v>
      </c>
      <c r="AU96" s="914"/>
      <c r="AV96" s="912">
        <v>4885618</v>
      </c>
      <c r="AW96" s="913"/>
      <c r="AX96" s="914">
        <f t="shared" si="143"/>
        <v>4885618</v>
      </c>
      <c r="AY96" s="910">
        <v>4885618</v>
      </c>
      <c r="AZ96" s="914"/>
      <c r="BA96" s="912">
        <v>6179515</v>
      </c>
      <c r="BB96" s="913"/>
      <c r="BC96" s="914">
        <f t="shared" si="144"/>
        <v>6179515</v>
      </c>
      <c r="BD96" s="910">
        <v>6179515</v>
      </c>
      <c r="BE96" s="914"/>
      <c r="BF96" s="912">
        <v>4649239</v>
      </c>
      <c r="BG96" s="913"/>
      <c r="BH96" s="914">
        <f t="shared" si="145"/>
        <v>4649239</v>
      </c>
      <c r="BI96" s="910">
        <v>4649239</v>
      </c>
      <c r="BJ96" s="914"/>
      <c r="BK96" s="912">
        <v>4691229</v>
      </c>
      <c r="BL96" s="913"/>
      <c r="BM96" s="914">
        <f t="shared" si="146"/>
        <v>4691229</v>
      </c>
      <c r="BN96" s="910">
        <v>4691229</v>
      </c>
      <c r="BO96" s="914"/>
      <c r="BP96" s="912">
        <v>4771534</v>
      </c>
      <c r="BQ96" s="913"/>
      <c r="BR96" s="914">
        <f t="shared" si="147"/>
        <v>4771534</v>
      </c>
      <c r="BS96" s="910">
        <v>4771534</v>
      </c>
      <c r="BT96" s="914"/>
      <c r="BU96" s="912">
        <v>3934769</v>
      </c>
      <c r="BV96" s="913"/>
      <c r="BW96" s="914">
        <f t="shared" si="148"/>
        <v>3934769</v>
      </c>
      <c r="BX96" s="910">
        <v>3934769</v>
      </c>
      <c r="BY96" s="914"/>
      <c r="BZ96" s="912">
        <v>37400516</v>
      </c>
      <c r="CA96" s="913"/>
      <c r="CB96" s="914">
        <f t="shared" si="149"/>
        <v>37400516</v>
      </c>
      <c r="CC96" s="910">
        <v>37400516</v>
      </c>
      <c r="CD96" s="933">
        <f t="shared" si="150"/>
        <v>0</v>
      </c>
      <c r="CE96" s="916">
        <f t="shared" si="151"/>
        <v>232064689</v>
      </c>
      <c r="CF96" s="917">
        <f t="shared" si="152"/>
        <v>0</v>
      </c>
      <c r="CG96" s="916">
        <f t="shared" ref="CG96:CH102" si="154">SUM(E96+J96+O96+T96+Y96+AD96+AI96+AN96+AS96+AX96+BC96+BH96+BM96+BR96+BW96+CB96)</f>
        <v>232064586</v>
      </c>
      <c r="CH96" s="916">
        <f t="shared" si="154"/>
        <v>232064585</v>
      </c>
    </row>
    <row r="97" spans="1:166" ht="15.75" customHeight="1">
      <c r="A97" s="634" t="s">
        <v>774</v>
      </c>
      <c r="B97" s="634"/>
      <c r="C97" s="907">
        <v>15714000</v>
      </c>
      <c r="D97" s="908"/>
      <c r="E97" s="909">
        <v>15714000</v>
      </c>
      <c r="F97" s="909">
        <v>15714000</v>
      </c>
      <c r="G97" s="928"/>
      <c r="H97" s="907"/>
      <c r="I97" s="908"/>
      <c r="J97" s="909">
        <f t="shared" si="135"/>
        <v>0</v>
      </c>
      <c r="K97" s="910"/>
      <c r="L97" s="928"/>
      <c r="M97" s="907"/>
      <c r="N97" s="908"/>
      <c r="O97" s="909">
        <f t="shared" si="136"/>
        <v>0</v>
      </c>
      <c r="P97" s="910"/>
      <c r="Q97" s="928"/>
      <c r="R97" s="907"/>
      <c r="S97" s="908"/>
      <c r="T97" s="909">
        <f t="shared" si="137"/>
        <v>0</v>
      </c>
      <c r="U97" s="909"/>
      <c r="V97" s="928"/>
      <c r="W97" s="912"/>
      <c r="X97" s="913"/>
      <c r="Y97" s="914">
        <f t="shared" si="138"/>
        <v>0</v>
      </c>
      <c r="Z97" s="910"/>
      <c r="AA97" s="929"/>
      <c r="AB97" s="912"/>
      <c r="AC97" s="913"/>
      <c r="AD97" s="914">
        <f t="shared" si="139"/>
        <v>0</v>
      </c>
      <c r="AE97" s="910"/>
      <c r="AF97" s="929"/>
      <c r="AG97" s="912"/>
      <c r="AH97" s="913"/>
      <c r="AI97" s="914">
        <f t="shared" si="140"/>
        <v>0</v>
      </c>
      <c r="AJ97" s="910"/>
      <c r="AK97" s="929"/>
      <c r="AL97" s="912"/>
      <c r="AM97" s="913"/>
      <c r="AN97" s="914">
        <f>SUM(AL97+AM97)</f>
        <v>0</v>
      </c>
      <c r="AO97" s="910"/>
      <c r="AP97" s="929"/>
      <c r="AQ97" s="912"/>
      <c r="AR97" s="913"/>
      <c r="AS97" s="914">
        <f t="shared" si="142"/>
        <v>0</v>
      </c>
      <c r="AT97" s="910"/>
      <c r="AU97" s="929"/>
      <c r="AV97" s="918"/>
      <c r="AW97" s="913"/>
      <c r="AX97" s="914">
        <f t="shared" si="143"/>
        <v>0</v>
      </c>
      <c r="AY97" s="910"/>
      <c r="AZ97" s="929"/>
      <c r="BA97" s="912"/>
      <c r="BB97" s="923"/>
      <c r="BC97" s="914">
        <f t="shared" si="144"/>
        <v>0</v>
      </c>
      <c r="BD97" s="910"/>
      <c r="BE97" s="929"/>
      <c r="BF97" s="912"/>
      <c r="BG97" s="913"/>
      <c r="BH97" s="914">
        <f t="shared" si="145"/>
        <v>0</v>
      </c>
      <c r="BI97" s="910"/>
      <c r="BJ97" s="929"/>
      <c r="BK97" s="912"/>
      <c r="BL97" s="913"/>
      <c r="BM97" s="914">
        <f t="shared" si="146"/>
        <v>0</v>
      </c>
      <c r="BN97" s="910"/>
      <c r="BO97" s="929"/>
      <c r="BP97" s="912"/>
      <c r="BQ97" s="913"/>
      <c r="BR97" s="914">
        <f t="shared" si="147"/>
        <v>0</v>
      </c>
      <c r="BS97" s="910"/>
      <c r="BT97" s="929"/>
      <c r="BU97" s="912"/>
      <c r="BV97" s="913"/>
      <c r="BW97" s="914">
        <f t="shared" si="148"/>
        <v>0</v>
      </c>
      <c r="BX97" s="910"/>
      <c r="BY97" s="929"/>
      <c r="BZ97" s="912"/>
      <c r="CA97" s="913"/>
      <c r="CB97" s="914">
        <f t="shared" si="149"/>
        <v>0</v>
      </c>
      <c r="CC97" s="910"/>
      <c r="CD97" s="933">
        <f t="shared" si="150"/>
        <v>0</v>
      </c>
      <c r="CE97" s="916">
        <f t="shared" si="151"/>
        <v>15714000</v>
      </c>
      <c r="CF97" s="917">
        <f t="shared" si="152"/>
        <v>0</v>
      </c>
      <c r="CG97" s="930">
        <f t="shared" si="154"/>
        <v>15714000</v>
      </c>
      <c r="CH97" s="916">
        <f t="shared" si="154"/>
        <v>15714000</v>
      </c>
    </row>
    <row r="98" spans="1:166" ht="15.75" customHeight="1">
      <c r="A98" s="380" t="s">
        <v>775</v>
      </c>
      <c r="B98" s="380"/>
      <c r="C98" s="921"/>
      <c r="D98" s="922"/>
      <c r="E98" s="909">
        <f>SUM(C98+D98)</f>
        <v>0</v>
      </c>
      <c r="F98" s="909"/>
      <c r="G98" s="928"/>
      <c r="H98" s="921"/>
      <c r="I98" s="922"/>
      <c r="J98" s="909">
        <f t="shared" si="135"/>
        <v>0</v>
      </c>
      <c r="K98" s="910"/>
      <c r="L98" s="928"/>
      <c r="M98" s="907"/>
      <c r="N98" s="908"/>
      <c r="O98" s="909">
        <f t="shared" si="136"/>
        <v>0</v>
      </c>
      <c r="P98" s="910"/>
      <c r="Q98" s="928"/>
      <c r="R98" s="921"/>
      <c r="S98" s="908"/>
      <c r="T98" s="909">
        <f t="shared" si="137"/>
        <v>0</v>
      </c>
      <c r="U98" s="909"/>
      <c r="V98" s="928"/>
      <c r="W98" s="918"/>
      <c r="X98" s="923"/>
      <c r="Y98" s="914">
        <f t="shared" si="138"/>
        <v>0</v>
      </c>
      <c r="Z98" s="910"/>
      <c r="AA98" s="929"/>
      <c r="AB98" s="918"/>
      <c r="AC98" s="923"/>
      <c r="AD98" s="914">
        <f t="shared" si="139"/>
        <v>0</v>
      </c>
      <c r="AE98" s="910"/>
      <c r="AF98" s="929"/>
      <c r="AG98" s="918"/>
      <c r="AH98" s="923"/>
      <c r="AI98" s="914">
        <f t="shared" si="140"/>
        <v>0</v>
      </c>
      <c r="AJ98" s="910"/>
      <c r="AK98" s="929"/>
      <c r="AL98" s="918"/>
      <c r="AM98" s="923"/>
      <c r="AN98" s="914">
        <f>SUM(AL98+AM98)</f>
        <v>0</v>
      </c>
      <c r="AO98" s="910"/>
      <c r="AP98" s="929"/>
      <c r="AQ98" s="918"/>
      <c r="AR98" s="923"/>
      <c r="AS98" s="914">
        <f t="shared" si="142"/>
        <v>0</v>
      </c>
      <c r="AT98" s="910"/>
      <c r="AU98" s="929"/>
      <c r="AV98" s="918"/>
      <c r="AW98" s="923"/>
      <c r="AX98" s="914">
        <f t="shared" si="143"/>
        <v>0</v>
      </c>
      <c r="AY98" s="910"/>
      <c r="AZ98" s="929"/>
      <c r="BA98" s="918"/>
      <c r="BB98" s="923"/>
      <c r="BC98" s="914">
        <f t="shared" si="144"/>
        <v>0</v>
      </c>
      <c r="BD98" s="910"/>
      <c r="BE98" s="929"/>
      <c r="BF98" s="918"/>
      <c r="BG98" s="923"/>
      <c r="BH98" s="914">
        <f t="shared" si="145"/>
        <v>0</v>
      </c>
      <c r="BI98" s="910"/>
      <c r="BJ98" s="929"/>
      <c r="BK98" s="918"/>
      <c r="BL98" s="923"/>
      <c r="BM98" s="914">
        <f t="shared" si="146"/>
        <v>0</v>
      </c>
      <c r="BN98" s="910"/>
      <c r="BO98" s="929"/>
      <c r="BP98" s="918"/>
      <c r="BQ98" s="923"/>
      <c r="BR98" s="914">
        <f t="shared" si="147"/>
        <v>0</v>
      </c>
      <c r="BS98" s="910"/>
      <c r="BT98" s="929"/>
      <c r="BU98" s="918"/>
      <c r="BV98" s="923"/>
      <c r="BW98" s="914">
        <f t="shared" si="148"/>
        <v>0</v>
      </c>
      <c r="BX98" s="910"/>
      <c r="BY98" s="929"/>
      <c r="BZ98" s="918"/>
      <c r="CA98" s="923"/>
      <c r="CB98" s="914">
        <f t="shared" si="149"/>
        <v>0</v>
      </c>
      <c r="CC98" s="910"/>
      <c r="CD98" s="933">
        <f t="shared" si="150"/>
        <v>0</v>
      </c>
      <c r="CE98" s="916">
        <f t="shared" si="151"/>
        <v>0</v>
      </c>
      <c r="CF98" s="917">
        <f t="shared" si="152"/>
        <v>0</v>
      </c>
      <c r="CG98" s="930">
        <f t="shared" si="154"/>
        <v>0</v>
      </c>
      <c r="CH98" s="916">
        <f t="shared" si="154"/>
        <v>0</v>
      </c>
    </row>
    <row r="99" spans="1:166" ht="15.75" customHeight="1">
      <c r="A99" s="380" t="s">
        <v>776</v>
      </c>
      <c r="B99" s="392">
        <v>1286703</v>
      </c>
      <c r="C99" s="907">
        <v>3791901</v>
      </c>
      <c r="D99" s="908">
        <v>2479544</v>
      </c>
      <c r="E99" s="909">
        <v>14747210</v>
      </c>
      <c r="F99" s="909">
        <v>14747210</v>
      </c>
      <c r="G99" s="907">
        <v>219019551</v>
      </c>
      <c r="H99" s="907">
        <v>231315380</v>
      </c>
      <c r="I99" s="908">
        <v>5801103</v>
      </c>
      <c r="J99" s="909">
        <v>276230754</v>
      </c>
      <c r="K99" s="910">
        <v>276230754</v>
      </c>
      <c r="L99" s="907">
        <v>147203703</v>
      </c>
      <c r="M99" s="907">
        <v>163061129</v>
      </c>
      <c r="N99" s="908">
        <v>7365152</v>
      </c>
      <c r="O99" s="909">
        <v>202317694</v>
      </c>
      <c r="P99" s="910">
        <v>202317694</v>
      </c>
      <c r="Q99" s="909">
        <v>32407417</v>
      </c>
      <c r="R99" s="907">
        <v>32700406</v>
      </c>
      <c r="S99" s="908">
        <v>293370</v>
      </c>
      <c r="T99" s="909">
        <v>33856741</v>
      </c>
      <c r="U99" s="909">
        <v>33856741</v>
      </c>
      <c r="V99" s="912">
        <v>105283471</v>
      </c>
      <c r="W99" s="912">
        <v>105291853</v>
      </c>
      <c r="X99" s="913">
        <v>8382</v>
      </c>
      <c r="Y99" s="914">
        <v>102664925</v>
      </c>
      <c r="Z99" s="910">
        <v>102664925</v>
      </c>
      <c r="AA99" s="912">
        <v>147940561</v>
      </c>
      <c r="AB99" s="912">
        <v>147984503</v>
      </c>
      <c r="AC99" s="913">
        <v>43942</v>
      </c>
      <c r="AD99" s="914">
        <v>152547628</v>
      </c>
      <c r="AE99" s="910">
        <v>152547628</v>
      </c>
      <c r="AF99" s="912">
        <v>149865611</v>
      </c>
      <c r="AG99" s="912">
        <v>149925047</v>
      </c>
      <c r="AH99" s="913">
        <v>59436</v>
      </c>
      <c r="AI99" s="914">
        <v>148960874</v>
      </c>
      <c r="AJ99" s="910">
        <v>148960874</v>
      </c>
      <c r="AK99" s="912">
        <v>205008032</v>
      </c>
      <c r="AL99" s="912">
        <v>205087534</v>
      </c>
      <c r="AM99" s="913">
        <v>79502</v>
      </c>
      <c r="AN99" s="914">
        <v>207149600</v>
      </c>
      <c r="AO99" s="910">
        <v>207149600</v>
      </c>
      <c r="AP99" s="912">
        <v>115106611</v>
      </c>
      <c r="AQ99" s="912">
        <v>115128201</v>
      </c>
      <c r="AR99" s="913">
        <v>24130</v>
      </c>
      <c r="AS99" s="914">
        <v>116140997</v>
      </c>
      <c r="AT99" s="910">
        <v>116140997</v>
      </c>
      <c r="AU99" s="912">
        <v>108112909</v>
      </c>
      <c r="AV99" s="912">
        <v>108128149</v>
      </c>
      <c r="AW99" s="913">
        <v>15875</v>
      </c>
      <c r="AX99" s="914">
        <v>107470330</v>
      </c>
      <c r="AY99" s="910">
        <v>107470330</v>
      </c>
      <c r="AZ99" s="912">
        <v>150050472</v>
      </c>
      <c r="BA99" s="912">
        <v>150166804</v>
      </c>
      <c r="BB99" s="913">
        <v>116332</v>
      </c>
      <c r="BC99" s="914">
        <v>150655349</v>
      </c>
      <c r="BD99" s="910">
        <v>150655349</v>
      </c>
      <c r="BE99" s="912">
        <v>101787705</v>
      </c>
      <c r="BF99" s="912">
        <v>101976427</v>
      </c>
      <c r="BG99" s="913">
        <v>188722</v>
      </c>
      <c r="BH99" s="914">
        <v>104288965</v>
      </c>
      <c r="BI99" s="910">
        <v>104288965</v>
      </c>
      <c r="BJ99" s="912">
        <v>102000832</v>
      </c>
      <c r="BK99" s="912">
        <v>102166948</v>
      </c>
      <c r="BL99" s="913">
        <v>166116</v>
      </c>
      <c r="BM99" s="914">
        <v>102002891</v>
      </c>
      <c r="BN99" s="910">
        <v>102002891</v>
      </c>
      <c r="BO99" s="912">
        <v>110660587</v>
      </c>
      <c r="BP99" s="912">
        <v>110810447</v>
      </c>
      <c r="BQ99" s="913">
        <v>149860</v>
      </c>
      <c r="BR99" s="914">
        <v>112979174</v>
      </c>
      <c r="BS99" s="910">
        <v>112979174</v>
      </c>
      <c r="BT99" s="912">
        <v>106456210</v>
      </c>
      <c r="BU99" s="912">
        <v>106502692</v>
      </c>
      <c r="BV99" s="913">
        <v>46482</v>
      </c>
      <c r="BW99" s="914">
        <v>106485312</v>
      </c>
      <c r="BX99" s="910">
        <v>106485312</v>
      </c>
      <c r="BY99" s="912">
        <v>246746072</v>
      </c>
      <c r="BZ99" s="912">
        <v>248138246</v>
      </c>
      <c r="CA99" s="913">
        <v>5137020</v>
      </c>
      <c r="CB99" s="914">
        <v>251072576</v>
      </c>
      <c r="CC99" s="910">
        <v>251072576</v>
      </c>
      <c r="CD99" s="933">
        <f t="shared" si="150"/>
        <v>2048936447</v>
      </c>
      <c r="CE99" s="933">
        <f t="shared" si="151"/>
        <v>2082175667</v>
      </c>
      <c r="CF99" s="933">
        <f t="shared" si="152"/>
        <v>21974968</v>
      </c>
      <c r="CG99" s="933">
        <f t="shared" si="154"/>
        <v>2189571020</v>
      </c>
      <c r="CH99" s="916">
        <f t="shared" si="154"/>
        <v>2189571020</v>
      </c>
    </row>
    <row r="100" spans="1:166" ht="15" customHeight="1">
      <c r="A100" s="384" t="s">
        <v>777</v>
      </c>
      <c r="B100" s="907">
        <v>212847000</v>
      </c>
      <c r="C100" s="907">
        <v>220325000</v>
      </c>
      <c r="D100" s="908">
        <v>448143</v>
      </c>
      <c r="E100" s="909">
        <v>205614838</v>
      </c>
      <c r="F100" s="909">
        <v>205614838</v>
      </c>
      <c r="G100" s="907">
        <v>241483000</v>
      </c>
      <c r="H100" s="907">
        <v>229733017</v>
      </c>
      <c r="I100" s="908">
        <v>3924603</v>
      </c>
      <c r="J100" s="909">
        <v>220648824</v>
      </c>
      <c r="K100" s="910">
        <v>194024742</v>
      </c>
      <c r="L100" s="907">
        <v>441036000</v>
      </c>
      <c r="M100" s="907">
        <v>437078563</v>
      </c>
      <c r="N100" s="908">
        <v>322876</v>
      </c>
      <c r="O100" s="909">
        <v>436565787</v>
      </c>
      <c r="P100" s="910">
        <v>372019675</v>
      </c>
      <c r="Q100" s="907">
        <v>615522000</v>
      </c>
      <c r="R100" s="907">
        <v>627643350</v>
      </c>
      <c r="S100" s="908">
        <v>3634270</v>
      </c>
      <c r="T100" s="909">
        <v>595516280</v>
      </c>
      <c r="U100" s="909">
        <f>555449439-33856741</f>
        <v>521592698</v>
      </c>
      <c r="V100" s="912">
        <v>23792000</v>
      </c>
      <c r="W100" s="912">
        <v>19798359</v>
      </c>
      <c r="X100" s="913">
        <v>1579828</v>
      </c>
      <c r="Y100" s="914">
        <v>26088525</v>
      </c>
      <c r="Z100" s="910">
        <v>22250924</v>
      </c>
      <c r="AA100" s="912">
        <v>58979000</v>
      </c>
      <c r="AB100" s="912">
        <v>59676303</v>
      </c>
      <c r="AC100" s="913">
        <v>-3035130</v>
      </c>
      <c r="AD100" s="914">
        <v>55200159</v>
      </c>
      <c r="AE100" s="910">
        <v>46122652</v>
      </c>
      <c r="AF100" s="912">
        <v>14239000</v>
      </c>
      <c r="AG100" s="912">
        <v>9983099</v>
      </c>
      <c r="AH100" s="913">
        <v>1417334</v>
      </c>
      <c r="AI100" s="914">
        <v>14164708</v>
      </c>
      <c r="AJ100" s="910">
        <v>7433808</v>
      </c>
      <c r="AK100" s="912">
        <v>22780000</v>
      </c>
      <c r="AL100" s="912">
        <v>14966173</v>
      </c>
      <c r="AM100" s="913">
        <v>3721418</v>
      </c>
      <c r="AN100" s="914">
        <v>21284478</v>
      </c>
      <c r="AO100" s="910">
        <v>14626128</v>
      </c>
      <c r="AP100" s="912">
        <v>30000000</v>
      </c>
      <c r="AQ100" s="912">
        <v>26204741</v>
      </c>
      <c r="AR100" s="913">
        <v>-472395</v>
      </c>
      <c r="AS100" s="914">
        <v>26972279</v>
      </c>
      <c r="AT100" s="910">
        <v>20001799</v>
      </c>
      <c r="AU100" s="912">
        <v>37630000</v>
      </c>
      <c r="AV100" s="912">
        <v>36220773</v>
      </c>
      <c r="AW100" s="913">
        <v>1327738</v>
      </c>
      <c r="AX100" s="914">
        <v>41688577</v>
      </c>
      <c r="AY100" s="910">
        <v>35876755</v>
      </c>
      <c r="AZ100" s="912">
        <v>28694000</v>
      </c>
      <c r="BA100" s="912">
        <v>27283290</v>
      </c>
      <c r="BB100" s="913">
        <v>2592599</v>
      </c>
      <c r="BC100" s="914">
        <v>33747163</v>
      </c>
      <c r="BD100" s="910">
        <v>27350084</v>
      </c>
      <c r="BE100" s="912">
        <v>50637000</v>
      </c>
      <c r="BF100" s="912">
        <v>48118312</v>
      </c>
      <c r="BG100" s="913">
        <v>246350</v>
      </c>
      <c r="BH100" s="914">
        <v>47941632</v>
      </c>
      <c r="BI100" s="910">
        <v>38258247</v>
      </c>
      <c r="BJ100" s="912">
        <v>45156000</v>
      </c>
      <c r="BK100" s="912">
        <v>42292336</v>
      </c>
      <c r="BL100" s="913">
        <v>1417025</v>
      </c>
      <c r="BM100" s="914">
        <v>48245247</v>
      </c>
      <c r="BN100" s="910">
        <v>39737276</v>
      </c>
      <c r="BO100" s="912">
        <v>40685000</v>
      </c>
      <c r="BP100" s="912">
        <v>36881354</v>
      </c>
      <c r="BQ100" s="913">
        <v>1876109</v>
      </c>
      <c r="BR100" s="914">
        <v>40249955</v>
      </c>
      <c r="BS100" s="910">
        <v>35719697</v>
      </c>
      <c r="BT100" s="912">
        <v>14446000</v>
      </c>
      <c r="BU100" s="912">
        <v>12272907</v>
      </c>
      <c r="BV100" s="913">
        <v>1892178</v>
      </c>
      <c r="BW100" s="914">
        <v>17897639</v>
      </c>
      <c r="BX100" s="910">
        <v>14336939</v>
      </c>
      <c r="BY100" s="912">
        <v>1489468000</v>
      </c>
      <c r="BZ100" s="912">
        <v>1513643430</v>
      </c>
      <c r="CA100" s="913">
        <v>-48146069</v>
      </c>
      <c r="CB100" s="914">
        <v>1498575663</v>
      </c>
      <c r="CC100" s="910">
        <v>1348121209</v>
      </c>
      <c r="CD100" s="933">
        <f t="shared" si="150"/>
        <v>3367394000</v>
      </c>
      <c r="CE100" s="916">
        <f t="shared" si="151"/>
        <v>3362121007</v>
      </c>
      <c r="CF100" s="917">
        <f t="shared" si="152"/>
        <v>-27253123</v>
      </c>
      <c r="CG100" s="916">
        <f t="shared" si="154"/>
        <v>3330401754</v>
      </c>
      <c r="CH100" s="916">
        <f t="shared" si="154"/>
        <v>2943087471</v>
      </c>
    </row>
    <row r="101" spans="1:166" ht="15" customHeight="1">
      <c r="A101" s="380" t="s">
        <v>778</v>
      </c>
      <c r="B101" s="921"/>
      <c r="C101" s="921"/>
      <c r="D101" s="922"/>
      <c r="E101" s="909">
        <f>SUM(C101+D101)</f>
        <v>0</v>
      </c>
      <c r="F101" s="909"/>
      <c r="G101" s="928"/>
      <c r="H101" s="921"/>
      <c r="I101" s="922"/>
      <c r="J101" s="909">
        <f>SUM(H101+I101)</f>
        <v>0</v>
      </c>
      <c r="K101" s="910"/>
      <c r="L101" s="928"/>
      <c r="M101" s="907"/>
      <c r="N101" s="908"/>
      <c r="O101" s="909">
        <f>SUM(M101+N101)</f>
        <v>0</v>
      </c>
      <c r="P101" s="910"/>
      <c r="Q101" s="921"/>
      <c r="R101" s="921"/>
      <c r="S101" s="908"/>
      <c r="T101" s="909">
        <v>3517000</v>
      </c>
      <c r="U101" s="909">
        <v>3517000</v>
      </c>
      <c r="V101" s="928"/>
      <c r="W101" s="912"/>
      <c r="X101" s="913"/>
      <c r="Y101" s="914">
        <f>SUM(W101+X101)</f>
        <v>0</v>
      </c>
      <c r="Z101" s="910"/>
      <c r="AA101" s="929"/>
      <c r="AB101" s="912"/>
      <c r="AC101" s="913"/>
      <c r="AD101" s="914">
        <f>SUM(AB101+AC101)</f>
        <v>0</v>
      </c>
      <c r="AE101" s="910"/>
      <c r="AF101" s="929"/>
      <c r="AG101" s="912"/>
      <c r="AH101" s="913"/>
      <c r="AI101" s="914">
        <f>SUM(AG101+AH101)</f>
        <v>0</v>
      </c>
      <c r="AJ101" s="910"/>
      <c r="AK101" s="929"/>
      <c r="AL101" s="912"/>
      <c r="AM101" s="913"/>
      <c r="AN101" s="914">
        <f>SUM(AL101+AM101)</f>
        <v>0</v>
      </c>
      <c r="AO101" s="910"/>
      <c r="AP101" s="929"/>
      <c r="AQ101" s="912"/>
      <c r="AR101" s="913"/>
      <c r="AS101" s="914">
        <f>SUM(AQ101+AR101)</f>
        <v>0</v>
      </c>
      <c r="AT101" s="910"/>
      <c r="AU101" s="929"/>
      <c r="AV101" s="912"/>
      <c r="AW101" s="913"/>
      <c r="AX101" s="914">
        <f>SUM(AV101+AW101)</f>
        <v>0</v>
      </c>
      <c r="AY101" s="910"/>
      <c r="AZ101" s="929"/>
      <c r="BA101" s="912"/>
      <c r="BB101" s="923"/>
      <c r="BC101" s="914">
        <f>SUM(BA101+BB101)</f>
        <v>0</v>
      </c>
      <c r="BD101" s="910"/>
      <c r="BE101" s="929"/>
      <c r="BF101" s="912"/>
      <c r="BG101" s="913"/>
      <c r="BH101" s="914">
        <f>SUM(BF101+BG101)</f>
        <v>0</v>
      </c>
      <c r="BI101" s="910"/>
      <c r="BJ101" s="929"/>
      <c r="BK101" s="912"/>
      <c r="BL101" s="913"/>
      <c r="BM101" s="914">
        <f>SUM(BK101+BL101)</f>
        <v>0</v>
      </c>
      <c r="BN101" s="910"/>
      <c r="BO101" s="929"/>
      <c r="BP101" s="912"/>
      <c r="BQ101" s="913"/>
      <c r="BR101" s="914">
        <f>SUM(BP101+BQ101)</f>
        <v>0</v>
      </c>
      <c r="BS101" s="910"/>
      <c r="BT101" s="929"/>
      <c r="BU101" s="912"/>
      <c r="BV101" s="913"/>
      <c r="BW101" s="914">
        <f>SUM(BU101+BV101)</f>
        <v>0</v>
      </c>
      <c r="BX101" s="910"/>
      <c r="BY101" s="912"/>
      <c r="BZ101" s="912"/>
      <c r="CA101" s="913"/>
      <c r="CB101" s="914">
        <f>SUM(BZ101+CA101)</f>
        <v>0</v>
      </c>
      <c r="CC101" s="910"/>
      <c r="CD101" s="933">
        <f t="shared" si="150"/>
        <v>0</v>
      </c>
      <c r="CE101" s="916">
        <f t="shared" si="151"/>
        <v>0</v>
      </c>
      <c r="CF101" s="917">
        <f t="shared" si="152"/>
        <v>0</v>
      </c>
      <c r="CG101" s="930">
        <f t="shared" si="154"/>
        <v>3517000</v>
      </c>
      <c r="CH101" s="916">
        <f t="shared" si="154"/>
        <v>3517000</v>
      </c>
    </row>
    <row r="102" spans="1:166" ht="15" customHeight="1">
      <c r="A102" s="380" t="s">
        <v>779</v>
      </c>
      <c r="B102" s="907">
        <v>63977000</v>
      </c>
      <c r="C102" s="907">
        <v>116979000</v>
      </c>
      <c r="D102" s="908"/>
      <c r="E102" s="909">
        <v>65336127</v>
      </c>
      <c r="F102" s="909">
        <v>65336127</v>
      </c>
      <c r="G102" s="928">
        <v>105588000</v>
      </c>
      <c r="H102" s="907">
        <v>118323326</v>
      </c>
      <c r="I102" s="908"/>
      <c r="J102" s="909">
        <v>127940255</v>
      </c>
      <c r="K102" s="910">
        <v>115081926</v>
      </c>
      <c r="L102" s="928">
        <v>48455000</v>
      </c>
      <c r="M102" s="907">
        <v>65938611</v>
      </c>
      <c r="N102" s="908">
        <v>802506</v>
      </c>
      <c r="O102" s="909">
        <v>56841638</v>
      </c>
      <c r="P102" s="910">
        <v>54176778</v>
      </c>
      <c r="Q102" s="907">
        <v>78730000</v>
      </c>
      <c r="R102" s="907">
        <v>108052000</v>
      </c>
      <c r="S102" s="908">
        <v>5994794</v>
      </c>
      <c r="T102" s="909">
        <v>118038920</v>
      </c>
      <c r="U102" s="909">
        <f>101288050-3517000</f>
        <v>97771050</v>
      </c>
      <c r="V102" s="928">
        <v>14298000</v>
      </c>
      <c r="W102" s="912">
        <v>18743000</v>
      </c>
      <c r="X102" s="913"/>
      <c r="Y102" s="914">
        <v>22091391</v>
      </c>
      <c r="Z102" s="910">
        <v>17022082</v>
      </c>
      <c r="AA102" s="929">
        <v>4277000</v>
      </c>
      <c r="AB102" s="912">
        <v>32141586</v>
      </c>
      <c r="AC102" s="913">
        <v>2222500</v>
      </c>
      <c r="AD102" s="914">
        <v>37705587</v>
      </c>
      <c r="AE102" s="910">
        <v>30876230</v>
      </c>
      <c r="AF102" s="929">
        <v>11443000</v>
      </c>
      <c r="AG102" s="912">
        <v>31991600</v>
      </c>
      <c r="AH102" s="913"/>
      <c r="AI102" s="914">
        <v>33289552</v>
      </c>
      <c r="AJ102" s="910">
        <v>31929695</v>
      </c>
      <c r="AK102" s="929">
        <v>29585000</v>
      </c>
      <c r="AL102" s="912">
        <v>32125000</v>
      </c>
      <c r="AM102" s="913"/>
      <c r="AN102" s="914">
        <v>36280257</v>
      </c>
      <c r="AO102" s="910">
        <v>31832164</v>
      </c>
      <c r="AP102" s="929">
        <v>3526000</v>
      </c>
      <c r="AQ102" s="912">
        <v>4605500</v>
      </c>
      <c r="AR102" s="913"/>
      <c r="AS102" s="914">
        <v>4398380</v>
      </c>
      <c r="AT102" s="910">
        <v>4141291</v>
      </c>
      <c r="AU102" s="929">
        <v>685000</v>
      </c>
      <c r="AV102" s="918">
        <v>1391999</v>
      </c>
      <c r="AW102" s="913"/>
      <c r="AX102" s="914">
        <v>1471294</v>
      </c>
      <c r="AY102" s="910">
        <v>1159927</v>
      </c>
      <c r="AZ102" s="929">
        <v>2050000</v>
      </c>
      <c r="BA102" s="912">
        <v>6602091</v>
      </c>
      <c r="BB102" s="923"/>
      <c r="BC102" s="914">
        <v>13391867</v>
      </c>
      <c r="BD102" s="910">
        <v>8666867</v>
      </c>
      <c r="BE102" s="929">
        <v>19324000</v>
      </c>
      <c r="BF102" s="912">
        <v>20657500</v>
      </c>
      <c r="BG102" s="913"/>
      <c r="BH102" s="914">
        <v>20995783</v>
      </c>
      <c r="BI102" s="910">
        <v>20906094</v>
      </c>
      <c r="BJ102" s="929">
        <v>56257000</v>
      </c>
      <c r="BK102" s="912">
        <v>56574500</v>
      </c>
      <c r="BL102" s="913"/>
      <c r="BM102" s="914">
        <v>45672804</v>
      </c>
      <c r="BN102" s="910">
        <v>34428079</v>
      </c>
      <c r="BO102" s="929">
        <v>66354000</v>
      </c>
      <c r="BP102" s="912">
        <v>70164000</v>
      </c>
      <c r="BQ102" s="913"/>
      <c r="BR102" s="914">
        <v>74663856</v>
      </c>
      <c r="BS102" s="910">
        <v>73328741</v>
      </c>
      <c r="BT102" s="929">
        <v>963000</v>
      </c>
      <c r="BU102" s="912">
        <v>1153500</v>
      </c>
      <c r="BV102" s="913">
        <v>1905000</v>
      </c>
      <c r="BW102" s="914">
        <v>4408621</v>
      </c>
      <c r="BX102" s="910">
        <v>3031569</v>
      </c>
      <c r="BY102" s="912">
        <v>307518000</v>
      </c>
      <c r="BZ102" s="912">
        <v>346332120</v>
      </c>
      <c r="CA102" s="913">
        <v>-215652148</v>
      </c>
      <c r="CB102" s="914">
        <v>149082514</v>
      </c>
      <c r="CC102" s="910">
        <v>119164752</v>
      </c>
      <c r="CD102" s="933">
        <f t="shared" si="150"/>
        <v>813030000</v>
      </c>
      <c r="CE102" s="916">
        <f t="shared" si="151"/>
        <v>1031775333</v>
      </c>
      <c r="CF102" s="917">
        <f t="shared" si="152"/>
        <v>-204727348</v>
      </c>
      <c r="CG102" s="930">
        <f t="shared" si="154"/>
        <v>811608846</v>
      </c>
      <c r="CH102" s="916">
        <f t="shared" si="154"/>
        <v>708853372</v>
      </c>
    </row>
    <row r="103" spans="1:166" ht="27.75" hidden="1" customHeight="1">
      <c r="A103" s="380" t="s">
        <v>780</v>
      </c>
      <c r="B103" s="380"/>
      <c r="C103" s="921">
        <v>0</v>
      </c>
      <c r="D103" s="922"/>
      <c r="E103" s="909">
        <f>SUM(C103+D103)</f>
        <v>0</v>
      </c>
      <c r="F103" s="928"/>
      <c r="G103" s="928"/>
      <c r="H103" s="921">
        <v>0</v>
      </c>
      <c r="I103" s="922"/>
      <c r="J103" s="909">
        <f>SUM(H103+I103)</f>
        <v>0</v>
      </c>
      <c r="K103" s="910"/>
      <c r="L103" s="928"/>
      <c r="M103" s="907">
        <v>0</v>
      </c>
      <c r="N103" s="908"/>
      <c r="O103" s="909">
        <f>SUM(M103+N103)</f>
        <v>0</v>
      </c>
      <c r="P103" s="910"/>
      <c r="Q103" s="928"/>
      <c r="R103" s="921"/>
      <c r="S103" s="908"/>
      <c r="T103" s="909">
        <f>SUM(R103+S103)</f>
        <v>0</v>
      </c>
      <c r="U103" s="928"/>
      <c r="V103" s="928"/>
      <c r="W103" s="914">
        <v>0</v>
      </c>
      <c r="X103" s="923"/>
      <c r="Y103" s="914">
        <f>SUM(W103+X103)</f>
        <v>0</v>
      </c>
      <c r="Z103" s="910"/>
      <c r="AA103" s="929"/>
      <c r="AB103" s="914">
        <v>0</v>
      </c>
      <c r="AC103" s="923"/>
      <c r="AD103" s="914">
        <f>SUM(AB103+AC103)</f>
        <v>0</v>
      </c>
      <c r="AE103" s="910"/>
      <c r="AF103" s="929"/>
      <c r="AG103" s="914">
        <v>0</v>
      </c>
      <c r="AH103" s="923"/>
      <c r="AI103" s="914">
        <f>SUM(AG103+AH103)</f>
        <v>0</v>
      </c>
      <c r="AJ103" s="910"/>
      <c r="AK103" s="929"/>
      <c r="AL103" s="914">
        <v>0</v>
      </c>
      <c r="AM103" s="923"/>
      <c r="AN103" s="914">
        <f>SUM(AL103+AM103)</f>
        <v>0</v>
      </c>
      <c r="AO103" s="910"/>
      <c r="AP103" s="929"/>
      <c r="AQ103" s="914">
        <v>0</v>
      </c>
      <c r="AR103" s="923"/>
      <c r="AS103" s="914">
        <f>SUM(AQ103+AR103)</f>
        <v>0</v>
      </c>
      <c r="AT103" s="910"/>
      <c r="AU103" s="929"/>
      <c r="AV103" s="914">
        <v>0</v>
      </c>
      <c r="AW103" s="923"/>
      <c r="AX103" s="914">
        <f>SUM(AV103+AW103)</f>
        <v>0</v>
      </c>
      <c r="AY103" s="910"/>
      <c r="AZ103" s="929"/>
      <c r="BA103" s="914">
        <v>0</v>
      </c>
      <c r="BB103" s="923"/>
      <c r="BC103" s="914">
        <f>SUM(BA103+BB103)</f>
        <v>0</v>
      </c>
      <c r="BD103" s="910"/>
      <c r="BE103" s="929"/>
      <c r="BF103" s="914">
        <v>0</v>
      </c>
      <c r="BG103" s="923"/>
      <c r="BH103" s="914">
        <f>SUM(BF103+BG103)</f>
        <v>0</v>
      </c>
      <c r="BI103" s="910"/>
      <c r="BJ103" s="929"/>
      <c r="BK103" s="914">
        <v>0</v>
      </c>
      <c r="BL103" s="923"/>
      <c r="BM103" s="914">
        <f>SUM(BK103+BL103)</f>
        <v>0</v>
      </c>
      <c r="BN103" s="910"/>
      <c r="BO103" s="929"/>
      <c r="BP103" s="914">
        <v>0</v>
      </c>
      <c r="BQ103" s="923"/>
      <c r="BR103" s="914">
        <f>SUM(BP103+BQ103)</f>
        <v>0</v>
      </c>
      <c r="BS103" s="910"/>
      <c r="BT103" s="929"/>
      <c r="BU103" s="914">
        <v>0</v>
      </c>
      <c r="BV103" s="923"/>
      <c r="BW103" s="914">
        <f>SUM(BU103+BV103)</f>
        <v>0</v>
      </c>
      <c r="BX103" s="910"/>
      <c r="BY103" s="929"/>
      <c r="BZ103" s="914">
        <v>0</v>
      </c>
      <c r="CA103" s="923"/>
      <c r="CB103" s="914">
        <f>SUM(BZ103+CA103)</f>
        <v>0</v>
      </c>
      <c r="CC103" s="910"/>
      <c r="CD103" s="933">
        <f t="shared" si="150"/>
        <v>0</v>
      </c>
      <c r="CE103" s="916">
        <f t="shared" si="151"/>
        <v>0</v>
      </c>
      <c r="CF103" s="917">
        <f t="shared" si="152"/>
        <v>0</v>
      </c>
      <c r="CG103" s="930">
        <f>SUM(CE103+CF103)</f>
        <v>0</v>
      </c>
      <c r="CH103" s="933">
        <f>CE103-CD103</f>
        <v>0</v>
      </c>
    </row>
    <row r="104" spans="1:166" s="927" customFormat="1" ht="15" customHeight="1">
      <c r="A104" s="935" t="s">
        <v>781</v>
      </c>
      <c r="B104" s="935">
        <f t="shared" ref="B104:AG104" si="155">SUM(B88:B103)</f>
        <v>278110703</v>
      </c>
      <c r="C104" s="935">
        <f t="shared" si="155"/>
        <v>439298901</v>
      </c>
      <c r="D104" s="935">
        <f t="shared" si="155"/>
        <v>2927687</v>
      </c>
      <c r="E104" s="935">
        <f t="shared" si="155"/>
        <v>383901072</v>
      </c>
      <c r="F104" s="935">
        <f t="shared" si="155"/>
        <v>383901072</v>
      </c>
      <c r="G104" s="935">
        <f t="shared" si="155"/>
        <v>566090551</v>
      </c>
      <c r="H104" s="935">
        <f t="shared" si="155"/>
        <v>595607770</v>
      </c>
      <c r="I104" s="935">
        <f t="shared" si="155"/>
        <v>9725706</v>
      </c>
      <c r="J104" s="935">
        <f t="shared" si="155"/>
        <v>641055880</v>
      </c>
      <c r="K104" s="936">
        <f t="shared" si="155"/>
        <v>601573469</v>
      </c>
      <c r="L104" s="935">
        <f t="shared" si="155"/>
        <v>636694703</v>
      </c>
      <c r="M104" s="935">
        <f t="shared" si="155"/>
        <v>684173701</v>
      </c>
      <c r="N104" s="935">
        <f t="shared" si="155"/>
        <v>8490534</v>
      </c>
      <c r="O104" s="935">
        <f t="shared" si="155"/>
        <v>713820517</v>
      </c>
      <c r="P104" s="936">
        <f t="shared" si="155"/>
        <v>646609545</v>
      </c>
      <c r="Q104" s="935">
        <f t="shared" si="155"/>
        <v>726659417</v>
      </c>
      <c r="R104" s="935">
        <f t="shared" si="155"/>
        <v>786655756</v>
      </c>
      <c r="S104" s="935">
        <f t="shared" si="155"/>
        <v>9922434</v>
      </c>
      <c r="T104" s="935">
        <f t="shared" si="155"/>
        <v>769188941</v>
      </c>
      <c r="U104" s="1695">
        <f t="shared" si="155"/>
        <v>674997489</v>
      </c>
      <c r="V104" s="935">
        <f t="shared" si="155"/>
        <v>143373471</v>
      </c>
      <c r="W104" s="935">
        <f t="shared" si="155"/>
        <v>148075564</v>
      </c>
      <c r="X104" s="935">
        <f t="shared" si="155"/>
        <v>1588210</v>
      </c>
      <c r="Y104" s="935">
        <f t="shared" si="155"/>
        <v>155087193</v>
      </c>
      <c r="Z104" s="936">
        <f t="shared" si="155"/>
        <v>146180283</v>
      </c>
      <c r="AA104" s="935">
        <f t="shared" si="155"/>
        <v>211196561</v>
      </c>
      <c r="AB104" s="935">
        <f t="shared" si="155"/>
        <v>246338517</v>
      </c>
      <c r="AC104" s="935">
        <f t="shared" si="155"/>
        <v>-768688</v>
      </c>
      <c r="AD104" s="935">
        <f t="shared" si="155"/>
        <v>251989499</v>
      </c>
      <c r="AE104" s="936">
        <f t="shared" si="155"/>
        <v>236082634</v>
      </c>
      <c r="AF104" s="935">
        <f t="shared" si="155"/>
        <v>175547611</v>
      </c>
      <c r="AG104" s="935">
        <f t="shared" si="155"/>
        <v>197950716</v>
      </c>
      <c r="AH104" s="935">
        <f t="shared" ref="AH104:BM104" si="156">SUM(AH88:AH103)</f>
        <v>1476770</v>
      </c>
      <c r="AI104" s="935">
        <f t="shared" si="156"/>
        <v>202466104</v>
      </c>
      <c r="AJ104" s="936">
        <f t="shared" si="156"/>
        <v>194375347</v>
      </c>
      <c r="AK104" s="935">
        <f t="shared" si="156"/>
        <v>257373032</v>
      </c>
      <c r="AL104" s="935">
        <f t="shared" si="156"/>
        <v>260806117</v>
      </c>
      <c r="AM104" s="935">
        <f t="shared" si="156"/>
        <v>3800920</v>
      </c>
      <c r="AN104" s="935">
        <f t="shared" si="156"/>
        <v>273341745</v>
      </c>
      <c r="AO104" s="936">
        <f t="shared" si="156"/>
        <v>262235302</v>
      </c>
      <c r="AP104" s="935">
        <f t="shared" si="156"/>
        <v>148632611</v>
      </c>
      <c r="AQ104" s="935">
        <f t="shared" si="156"/>
        <v>150953409</v>
      </c>
      <c r="AR104" s="935">
        <f t="shared" si="156"/>
        <v>-448265</v>
      </c>
      <c r="AS104" s="935">
        <f t="shared" si="156"/>
        <v>152526623</v>
      </c>
      <c r="AT104" s="936">
        <f t="shared" si="156"/>
        <v>145299054</v>
      </c>
      <c r="AU104" s="935">
        <f t="shared" si="156"/>
        <v>146427909</v>
      </c>
      <c r="AV104" s="935">
        <f t="shared" si="156"/>
        <v>150626539</v>
      </c>
      <c r="AW104" s="935">
        <f t="shared" si="156"/>
        <v>1343613</v>
      </c>
      <c r="AX104" s="935">
        <f t="shared" si="156"/>
        <v>155515819</v>
      </c>
      <c r="AY104" s="936">
        <f t="shared" si="156"/>
        <v>149392630</v>
      </c>
      <c r="AZ104" s="935">
        <f t="shared" si="156"/>
        <v>180794472</v>
      </c>
      <c r="BA104" s="935">
        <f t="shared" si="156"/>
        <v>190231700</v>
      </c>
      <c r="BB104" s="935">
        <f t="shared" si="156"/>
        <v>2708931</v>
      </c>
      <c r="BC104" s="935">
        <f t="shared" si="156"/>
        <v>203973894</v>
      </c>
      <c r="BD104" s="936">
        <f t="shared" si="156"/>
        <v>192851815</v>
      </c>
      <c r="BE104" s="935">
        <f t="shared" si="156"/>
        <v>171748705</v>
      </c>
      <c r="BF104" s="935">
        <f t="shared" si="156"/>
        <v>175401478</v>
      </c>
      <c r="BG104" s="935">
        <f t="shared" si="156"/>
        <v>435072</v>
      </c>
      <c r="BH104" s="935">
        <f t="shared" si="156"/>
        <v>177875619</v>
      </c>
      <c r="BI104" s="936">
        <f t="shared" si="156"/>
        <v>168102545</v>
      </c>
      <c r="BJ104" s="935">
        <f t="shared" si="156"/>
        <v>203413832</v>
      </c>
      <c r="BK104" s="935">
        <f t="shared" si="156"/>
        <v>205725013</v>
      </c>
      <c r="BL104" s="935">
        <f t="shared" si="156"/>
        <v>1583141</v>
      </c>
      <c r="BM104" s="935">
        <f t="shared" si="156"/>
        <v>200612171</v>
      </c>
      <c r="BN104" s="936">
        <f t="shared" ref="BN104:CH104" si="157">SUM(BN88:BN103)</f>
        <v>180859475</v>
      </c>
      <c r="BO104" s="935">
        <f t="shared" si="157"/>
        <v>217699587</v>
      </c>
      <c r="BP104" s="935">
        <f t="shared" si="157"/>
        <v>222627335</v>
      </c>
      <c r="BQ104" s="935">
        <f t="shared" si="157"/>
        <v>2025969</v>
      </c>
      <c r="BR104" s="935">
        <f t="shared" si="157"/>
        <v>232664519</v>
      </c>
      <c r="BS104" s="936">
        <f t="shared" si="157"/>
        <v>226799146</v>
      </c>
      <c r="BT104" s="935">
        <f t="shared" si="157"/>
        <v>121865210</v>
      </c>
      <c r="BU104" s="935">
        <f t="shared" si="157"/>
        <v>123863868</v>
      </c>
      <c r="BV104" s="935">
        <f t="shared" si="157"/>
        <v>3843660</v>
      </c>
      <c r="BW104" s="935">
        <f t="shared" si="157"/>
        <v>132726341</v>
      </c>
      <c r="BX104" s="936">
        <f t="shared" si="157"/>
        <v>127788589</v>
      </c>
      <c r="BY104" s="935">
        <f t="shared" si="157"/>
        <v>2043732072</v>
      </c>
      <c r="BZ104" s="935">
        <f t="shared" si="157"/>
        <v>2145514312</v>
      </c>
      <c r="CA104" s="935">
        <f t="shared" si="157"/>
        <v>-258661197</v>
      </c>
      <c r="CB104" s="935">
        <f t="shared" si="157"/>
        <v>1936131269</v>
      </c>
      <c r="CC104" s="936">
        <f t="shared" si="157"/>
        <v>1755759053</v>
      </c>
      <c r="CD104" s="935">
        <f t="shared" si="157"/>
        <v>6229360447</v>
      </c>
      <c r="CE104" s="935">
        <f t="shared" si="157"/>
        <v>6723850696</v>
      </c>
      <c r="CF104" s="935">
        <f t="shared" si="157"/>
        <v>-210005503</v>
      </c>
      <c r="CG104" s="935">
        <f t="shared" si="157"/>
        <v>6582877206</v>
      </c>
      <c r="CH104" s="935">
        <f t="shared" si="157"/>
        <v>6092807448</v>
      </c>
    </row>
    <row r="105" spans="1:166" s="927" customFormat="1" ht="15" customHeight="1">
      <c r="A105" s="951" t="s">
        <v>782</v>
      </c>
      <c r="B105" s="940">
        <f t="shared" ref="B105:AG105" si="158">SUM(B87+B104)</f>
        <v>1398806703</v>
      </c>
      <c r="C105" s="940">
        <f t="shared" si="158"/>
        <v>1560235901</v>
      </c>
      <c r="D105" s="940">
        <f t="shared" si="158"/>
        <v>2927687</v>
      </c>
      <c r="E105" s="940">
        <f t="shared" si="158"/>
        <v>1575810324</v>
      </c>
      <c r="F105" s="940">
        <f t="shared" si="158"/>
        <v>1575810336</v>
      </c>
      <c r="G105" s="940">
        <f t="shared" si="158"/>
        <v>581575011</v>
      </c>
      <c r="H105" s="940">
        <f t="shared" si="158"/>
        <v>611092230</v>
      </c>
      <c r="I105" s="940">
        <f t="shared" si="158"/>
        <v>9725706</v>
      </c>
      <c r="J105" s="940">
        <f t="shared" si="158"/>
        <v>663364302</v>
      </c>
      <c r="K105" s="941">
        <f t="shared" si="158"/>
        <v>623881891</v>
      </c>
      <c r="L105" s="940">
        <f t="shared" si="158"/>
        <v>738374401</v>
      </c>
      <c r="M105" s="940">
        <f t="shared" si="158"/>
        <v>785853399</v>
      </c>
      <c r="N105" s="940">
        <f t="shared" si="158"/>
        <v>8995033</v>
      </c>
      <c r="O105" s="940">
        <f t="shared" si="158"/>
        <v>792207298</v>
      </c>
      <c r="P105" s="941">
        <f t="shared" si="158"/>
        <v>724996326</v>
      </c>
      <c r="Q105" s="940">
        <f t="shared" si="158"/>
        <v>857068517</v>
      </c>
      <c r="R105" s="940">
        <f t="shared" si="158"/>
        <v>918264856</v>
      </c>
      <c r="S105" s="940">
        <f t="shared" si="158"/>
        <v>5618859</v>
      </c>
      <c r="T105" s="940">
        <f t="shared" si="158"/>
        <v>931153757</v>
      </c>
      <c r="U105" s="940">
        <f t="shared" si="158"/>
        <v>835078440</v>
      </c>
      <c r="V105" s="940">
        <f t="shared" si="158"/>
        <v>147022989</v>
      </c>
      <c r="W105" s="940">
        <f t="shared" si="158"/>
        <v>151725082</v>
      </c>
      <c r="X105" s="940">
        <f t="shared" si="158"/>
        <v>2006691</v>
      </c>
      <c r="Y105" s="940">
        <f t="shared" si="158"/>
        <v>159264424</v>
      </c>
      <c r="Z105" s="941">
        <f t="shared" si="158"/>
        <v>150357514</v>
      </c>
      <c r="AA105" s="940">
        <f t="shared" si="158"/>
        <v>225021214</v>
      </c>
      <c r="AB105" s="940">
        <f t="shared" si="158"/>
        <v>260163170</v>
      </c>
      <c r="AC105" s="940">
        <f t="shared" si="158"/>
        <v>-768688</v>
      </c>
      <c r="AD105" s="940">
        <f t="shared" si="158"/>
        <v>266351344</v>
      </c>
      <c r="AE105" s="941">
        <f t="shared" si="158"/>
        <v>250444479</v>
      </c>
      <c r="AF105" s="940">
        <f t="shared" si="158"/>
        <v>175645111</v>
      </c>
      <c r="AG105" s="940">
        <f t="shared" si="158"/>
        <v>198048216</v>
      </c>
      <c r="AH105" s="940">
        <f t="shared" ref="AH105:BM105" si="159">SUM(AH87+AH104)</f>
        <v>1476770</v>
      </c>
      <c r="AI105" s="940">
        <f t="shared" si="159"/>
        <v>203040297</v>
      </c>
      <c r="AJ105" s="941">
        <f t="shared" si="159"/>
        <v>194949540</v>
      </c>
      <c r="AK105" s="940">
        <f t="shared" si="159"/>
        <v>257495032</v>
      </c>
      <c r="AL105" s="940">
        <f t="shared" si="159"/>
        <v>260928117</v>
      </c>
      <c r="AM105" s="940">
        <f t="shared" si="159"/>
        <v>3800920</v>
      </c>
      <c r="AN105" s="940">
        <f t="shared" si="159"/>
        <v>273567083</v>
      </c>
      <c r="AO105" s="941">
        <f t="shared" si="159"/>
        <v>262460640</v>
      </c>
      <c r="AP105" s="940">
        <f t="shared" si="159"/>
        <v>152701663</v>
      </c>
      <c r="AQ105" s="940">
        <f t="shared" si="159"/>
        <v>155022461</v>
      </c>
      <c r="AR105" s="940">
        <f t="shared" si="159"/>
        <v>67885</v>
      </c>
      <c r="AS105" s="940">
        <f t="shared" si="159"/>
        <v>157700743</v>
      </c>
      <c r="AT105" s="941">
        <f t="shared" si="159"/>
        <v>150473174</v>
      </c>
      <c r="AU105" s="940">
        <f t="shared" si="159"/>
        <v>148685702</v>
      </c>
      <c r="AV105" s="940">
        <f t="shared" si="159"/>
        <v>152884332</v>
      </c>
      <c r="AW105" s="940">
        <f t="shared" si="159"/>
        <v>1697936</v>
      </c>
      <c r="AX105" s="940">
        <f t="shared" si="159"/>
        <v>158235150</v>
      </c>
      <c r="AY105" s="941">
        <f t="shared" si="159"/>
        <v>152111961</v>
      </c>
      <c r="AZ105" s="940">
        <f t="shared" si="159"/>
        <v>180829472</v>
      </c>
      <c r="BA105" s="940">
        <f t="shared" si="159"/>
        <v>190266700</v>
      </c>
      <c r="BB105" s="940">
        <f t="shared" si="159"/>
        <v>2708931</v>
      </c>
      <c r="BC105" s="940">
        <f t="shared" si="159"/>
        <v>204083984</v>
      </c>
      <c r="BD105" s="941">
        <f t="shared" si="159"/>
        <v>192961905</v>
      </c>
      <c r="BE105" s="940">
        <f t="shared" si="159"/>
        <v>174593049</v>
      </c>
      <c r="BF105" s="940">
        <f t="shared" si="159"/>
        <v>178245822</v>
      </c>
      <c r="BG105" s="940">
        <f t="shared" si="159"/>
        <v>825137</v>
      </c>
      <c r="BH105" s="940">
        <f t="shared" si="159"/>
        <v>180653252</v>
      </c>
      <c r="BI105" s="941">
        <f t="shared" si="159"/>
        <v>170880178</v>
      </c>
      <c r="BJ105" s="940">
        <f t="shared" si="159"/>
        <v>208812832</v>
      </c>
      <c r="BK105" s="940">
        <f t="shared" si="159"/>
        <v>211124013</v>
      </c>
      <c r="BL105" s="940">
        <f t="shared" si="159"/>
        <v>1583141</v>
      </c>
      <c r="BM105" s="940">
        <f t="shared" si="159"/>
        <v>205145295</v>
      </c>
      <c r="BN105" s="941">
        <f t="shared" ref="BN105:CH105" si="160">SUM(BN87+BN104)</f>
        <v>185392599</v>
      </c>
      <c r="BO105" s="940">
        <f t="shared" si="160"/>
        <v>221120086</v>
      </c>
      <c r="BP105" s="940">
        <f t="shared" si="160"/>
        <v>226047834</v>
      </c>
      <c r="BQ105" s="940">
        <f t="shared" si="160"/>
        <v>2225532</v>
      </c>
      <c r="BR105" s="940">
        <f t="shared" si="160"/>
        <v>236055265</v>
      </c>
      <c r="BS105" s="941">
        <f t="shared" si="160"/>
        <v>230189892</v>
      </c>
      <c r="BT105" s="940">
        <f t="shared" si="160"/>
        <v>129220019</v>
      </c>
      <c r="BU105" s="940">
        <f t="shared" si="160"/>
        <v>131218677</v>
      </c>
      <c r="BV105" s="940">
        <f t="shared" si="160"/>
        <v>3843660</v>
      </c>
      <c r="BW105" s="940">
        <f t="shared" si="160"/>
        <v>139078718</v>
      </c>
      <c r="BX105" s="941">
        <f t="shared" si="160"/>
        <v>134140966</v>
      </c>
      <c r="BY105" s="940">
        <f t="shared" si="160"/>
        <v>2369349433</v>
      </c>
      <c r="BZ105" s="940">
        <f t="shared" si="160"/>
        <v>2517527383</v>
      </c>
      <c r="CA105" s="940">
        <f t="shared" si="160"/>
        <v>-257467801</v>
      </c>
      <c r="CB105" s="940">
        <f t="shared" si="160"/>
        <v>2323588648</v>
      </c>
      <c r="CC105" s="941">
        <f t="shared" si="160"/>
        <v>2143226432</v>
      </c>
      <c r="CD105" s="940">
        <f t="shared" si="160"/>
        <v>7966321234</v>
      </c>
      <c r="CE105" s="940">
        <f t="shared" si="160"/>
        <v>8508648193</v>
      </c>
      <c r="CF105" s="940">
        <f t="shared" si="160"/>
        <v>-210732601</v>
      </c>
      <c r="CG105" s="940">
        <f t="shared" si="160"/>
        <v>8469299884</v>
      </c>
      <c r="CH105" s="940">
        <f t="shared" si="160"/>
        <v>7977356273</v>
      </c>
    </row>
    <row r="106" spans="1:166" ht="15" hidden="1" customHeight="1">
      <c r="A106" s="634" t="s">
        <v>783</v>
      </c>
      <c r="B106" s="952">
        <f t="shared" ref="B106:AG106" si="161">SUM(B61-B105)</f>
        <v>0</v>
      </c>
      <c r="C106" s="952">
        <f t="shared" si="161"/>
        <v>0</v>
      </c>
      <c r="D106" s="952">
        <f t="shared" si="161"/>
        <v>0</v>
      </c>
      <c r="E106" s="952">
        <f t="shared" si="161"/>
        <v>0</v>
      </c>
      <c r="F106" s="952">
        <f t="shared" si="161"/>
        <v>-77378250</v>
      </c>
      <c r="G106" s="952">
        <f t="shared" si="161"/>
        <v>0</v>
      </c>
      <c r="H106" s="952">
        <f t="shared" si="161"/>
        <v>0</v>
      </c>
      <c r="I106" s="952">
        <f t="shared" si="161"/>
        <v>0</v>
      </c>
      <c r="J106" s="952">
        <f t="shared" si="161"/>
        <v>0</v>
      </c>
      <c r="K106" s="952">
        <f t="shared" si="161"/>
        <v>-432213</v>
      </c>
      <c r="L106" s="952">
        <f t="shared" si="161"/>
        <v>0</v>
      </c>
      <c r="M106" s="952">
        <f t="shared" si="161"/>
        <v>0</v>
      </c>
      <c r="N106" s="952">
        <f t="shared" si="161"/>
        <v>0</v>
      </c>
      <c r="O106" s="952">
        <f t="shared" si="161"/>
        <v>0</v>
      </c>
      <c r="P106" s="952">
        <f t="shared" si="161"/>
        <v>-964296</v>
      </c>
      <c r="Q106" s="952">
        <f t="shared" si="161"/>
        <v>0</v>
      </c>
      <c r="R106" s="952">
        <f t="shared" si="161"/>
        <v>0</v>
      </c>
      <c r="S106" s="952">
        <f t="shared" si="161"/>
        <v>0</v>
      </c>
      <c r="T106" s="952">
        <f t="shared" si="161"/>
        <v>0</v>
      </c>
      <c r="U106" s="952">
        <f t="shared" si="161"/>
        <v>-27115688</v>
      </c>
      <c r="V106" s="952">
        <f t="shared" si="161"/>
        <v>0</v>
      </c>
      <c r="W106" s="952">
        <f t="shared" si="161"/>
        <v>0</v>
      </c>
      <c r="X106" s="952">
        <f t="shared" si="161"/>
        <v>0</v>
      </c>
      <c r="Y106" s="952">
        <f t="shared" si="161"/>
        <v>0</v>
      </c>
      <c r="Z106" s="952">
        <f t="shared" si="161"/>
        <v>-50757</v>
      </c>
      <c r="AA106" s="952">
        <f t="shared" si="161"/>
        <v>0</v>
      </c>
      <c r="AB106" s="952">
        <f t="shared" si="161"/>
        <v>0</v>
      </c>
      <c r="AC106" s="952">
        <f t="shared" si="161"/>
        <v>0</v>
      </c>
      <c r="AD106" s="952">
        <f t="shared" si="161"/>
        <v>0</v>
      </c>
      <c r="AE106" s="952">
        <f t="shared" si="161"/>
        <v>-492593</v>
      </c>
      <c r="AF106" s="952">
        <f t="shared" si="161"/>
        <v>0</v>
      </c>
      <c r="AG106" s="952">
        <f t="shared" si="161"/>
        <v>0</v>
      </c>
      <c r="AH106" s="952">
        <f t="shared" ref="AH106:BM106" si="162">SUM(AH61-AH105)</f>
        <v>0</v>
      </c>
      <c r="AI106" s="952">
        <f t="shared" si="162"/>
        <v>0</v>
      </c>
      <c r="AJ106" s="952">
        <f t="shared" si="162"/>
        <v>-30360</v>
      </c>
      <c r="AK106" s="952">
        <f t="shared" si="162"/>
        <v>0</v>
      </c>
      <c r="AL106" s="952">
        <f t="shared" si="162"/>
        <v>0</v>
      </c>
      <c r="AM106" s="952">
        <f t="shared" si="162"/>
        <v>0</v>
      </c>
      <c r="AN106" s="952">
        <f t="shared" si="162"/>
        <v>0</v>
      </c>
      <c r="AO106" s="952">
        <f t="shared" si="162"/>
        <v>-292473</v>
      </c>
      <c r="AP106" s="952">
        <f t="shared" si="162"/>
        <v>0</v>
      </c>
      <c r="AQ106" s="952">
        <f t="shared" si="162"/>
        <v>0</v>
      </c>
      <c r="AR106" s="952">
        <f t="shared" si="162"/>
        <v>0</v>
      </c>
      <c r="AS106" s="952">
        <f t="shared" si="162"/>
        <v>0</v>
      </c>
      <c r="AT106" s="952">
        <f t="shared" si="162"/>
        <v>-40250</v>
      </c>
      <c r="AU106" s="952">
        <f t="shared" si="162"/>
        <v>0</v>
      </c>
      <c r="AV106" s="952">
        <f t="shared" si="162"/>
        <v>0</v>
      </c>
      <c r="AW106" s="952">
        <f t="shared" si="162"/>
        <v>0</v>
      </c>
      <c r="AX106" s="952">
        <f t="shared" si="162"/>
        <v>0</v>
      </c>
      <c r="AY106" s="952">
        <f t="shared" si="162"/>
        <v>-466605</v>
      </c>
      <c r="AZ106" s="952">
        <f t="shared" si="162"/>
        <v>0</v>
      </c>
      <c r="BA106" s="952">
        <f t="shared" si="162"/>
        <v>0</v>
      </c>
      <c r="BB106" s="952">
        <f t="shared" si="162"/>
        <v>0</v>
      </c>
      <c r="BC106" s="952">
        <f t="shared" si="162"/>
        <v>0</v>
      </c>
      <c r="BD106" s="952">
        <f t="shared" si="162"/>
        <v>-23555</v>
      </c>
      <c r="BE106" s="952">
        <f t="shared" si="162"/>
        <v>0</v>
      </c>
      <c r="BF106" s="952">
        <f t="shared" si="162"/>
        <v>0</v>
      </c>
      <c r="BG106" s="952">
        <f t="shared" si="162"/>
        <v>0</v>
      </c>
      <c r="BH106" s="952">
        <f t="shared" si="162"/>
        <v>0</v>
      </c>
      <c r="BI106" s="952">
        <f t="shared" si="162"/>
        <v>-196510</v>
      </c>
      <c r="BJ106" s="952">
        <f t="shared" si="162"/>
        <v>0</v>
      </c>
      <c r="BK106" s="952">
        <f t="shared" si="162"/>
        <v>0</v>
      </c>
      <c r="BL106" s="952">
        <f t="shared" si="162"/>
        <v>0</v>
      </c>
      <c r="BM106" s="952">
        <f t="shared" si="162"/>
        <v>0</v>
      </c>
      <c r="BN106" s="952">
        <f t="shared" ref="BN106:CH106" si="163">SUM(BN61-BN105)</f>
        <v>-12539</v>
      </c>
      <c r="BO106" s="952">
        <f t="shared" si="163"/>
        <v>0</v>
      </c>
      <c r="BP106" s="952">
        <f t="shared" si="163"/>
        <v>0</v>
      </c>
      <c r="BQ106" s="952">
        <f t="shared" si="163"/>
        <v>0</v>
      </c>
      <c r="BR106" s="952">
        <f t="shared" si="163"/>
        <v>0</v>
      </c>
      <c r="BS106" s="952">
        <f t="shared" si="163"/>
        <v>-130428</v>
      </c>
      <c r="BT106" s="952">
        <f t="shared" si="163"/>
        <v>0</v>
      </c>
      <c r="BU106" s="952">
        <f t="shared" si="163"/>
        <v>0</v>
      </c>
      <c r="BV106" s="952">
        <f t="shared" si="163"/>
        <v>0</v>
      </c>
      <c r="BW106" s="952">
        <f t="shared" si="163"/>
        <v>0</v>
      </c>
      <c r="BX106" s="952">
        <f t="shared" si="163"/>
        <v>-65922</v>
      </c>
      <c r="BY106" s="952">
        <f t="shared" si="163"/>
        <v>0</v>
      </c>
      <c r="BZ106" s="952">
        <f t="shared" si="163"/>
        <v>0</v>
      </c>
      <c r="CA106" s="952">
        <f t="shared" si="163"/>
        <v>0</v>
      </c>
      <c r="CB106" s="952">
        <f t="shared" si="163"/>
        <v>0</v>
      </c>
      <c r="CC106" s="952">
        <f t="shared" si="163"/>
        <v>-3826122</v>
      </c>
      <c r="CD106" s="952">
        <f t="shared" si="163"/>
        <v>0</v>
      </c>
      <c r="CE106" s="952">
        <f t="shared" si="163"/>
        <v>0</v>
      </c>
      <c r="CF106" s="952">
        <f t="shared" si="163"/>
        <v>0</v>
      </c>
      <c r="CG106" s="952">
        <f t="shared" si="163"/>
        <v>0</v>
      </c>
      <c r="CH106" s="953">
        <f t="shared" si="163"/>
        <v>-111518561</v>
      </c>
      <c r="CI106" s="634"/>
      <c r="CJ106" s="634"/>
      <c r="CK106" s="634"/>
      <c r="CL106" s="634"/>
      <c r="CM106" s="634"/>
      <c r="CN106" s="634"/>
      <c r="CO106" s="634"/>
      <c r="CP106" s="634"/>
      <c r="CQ106" s="634"/>
      <c r="CR106" s="634"/>
      <c r="CS106" s="634"/>
      <c r="CT106" s="634"/>
      <c r="CU106" s="634"/>
      <c r="FJ106" s="632">
        <f>FJ61-FJ105</f>
        <v>0</v>
      </c>
    </row>
    <row r="107" spans="1:166" ht="15" hidden="1" customHeight="1">
      <c r="C107" s="954"/>
      <c r="D107" s="954"/>
      <c r="E107" s="954"/>
      <c r="F107" s="954"/>
      <c r="G107" s="954"/>
      <c r="H107" s="634"/>
      <c r="I107" s="634"/>
      <c r="K107" s="634"/>
      <c r="L107" s="634"/>
      <c r="M107" s="634"/>
      <c r="N107" s="634"/>
      <c r="P107" s="634"/>
      <c r="Q107" s="634"/>
      <c r="R107" s="634"/>
      <c r="S107" s="634"/>
      <c r="U107" s="634"/>
      <c r="V107" s="634"/>
      <c r="W107" s="919"/>
      <c r="X107" s="303"/>
      <c r="Y107" s="919"/>
      <c r="Z107" s="303"/>
      <c r="AA107" s="303"/>
      <c r="AB107" s="919"/>
      <c r="AC107" s="303"/>
      <c r="AD107" s="919"/>
      <c r="AE107" s="303"/>
      <c r="AF107" s="303"/>
      <c r="AG107" s="919"/>
      <c r="AH107" s="303"/>
      <c r="AI107" s="919"/>
      <c r="AJ107" s="303"/>
      <c r="AK107" s="303"/>
      <c r="AL107" s="919"/>
      <c r="AM107" s="303"/>
      <c r="AN107" s="919"/>
      <c r="AO107" s="303"/>
      <c r="AP107" s="303"/>
      <c r="AQ107" s="919"/>
      <c r="AR107" s="303"/>
      <c r="AS107" s="919"/>
      <c r="AT107" s="303"/>
      <c r="AU107" s="303"/>
      <c r="AV107" s="919"/>
      <c r="AW107" s="303"/>
      <c r="AX107" s="919"/>
      <c r="AY107" s="303"/>
      <c r="AZ107" s="303"/>
      <c r="BA107" s="919"/>
      <c r="BB107" s="303"/>
      <c r="BC107" s="919"/>
      <c r="BD107" s="303"/>
      <c r="BE107" s="303"/>
      <c r="BF107" s="919"/>
      <c r="BG107" s="303"/>
      <c r="BH107" s="919"/>
      <c r="BI107" s="303"/>
      <c r="BJ107" s="303"/>
      <c r="BK107" s="919"/>
      <c r="BL107" s="303"/>
      <c r="BM107" s="919"/>
      <c r="BN107" s="303"/>
      <c r="BO107" s="303"/>
      <c r="BP107" s="919"/>
      <c r="BQ107" s="303"/>
      <c r="BR107" s="919"/>
      <c r="BS107" s="303"/>
      <c r="BT107" s="303"/>
      <c r="BU107" s="919"/>
      <c r="BV107" s="303"/>
      <c r="BW107" s="919"/>
      <c r="BX107" s="303"/>
      <c r="BY107" s="303"/>
      <c r="BZ107" s="919"/>
      <c r="CA107" s="303"/>
      <c r="CB107" s="919"/>
      <c r="CC107" s="303"/>
      <c r="CD107" s="955"/>
      <c r="CE107" s="956"/>
      <c r="CF107" s="956"/>
      <c r="CG107" s="956"/>
      <c r="CH107" s="955"/>
      <c r="CI107" s="634"/>
      <c r="CJ107" s="634"/>
      <c r="CK107" s="634"/>
      <c r="CL107" s="634"/>
      <c r="CM107" s="634"/>
      <c r="CN107" s="634"/>
      <c r="CO107" s="634"/>
      <c r="CP107" s="634"/>
      <c r="CQ107" s="634"/>
      <c r="CR107" s="634"/>
      <c r="CS107" s="634"/>
      <c r="CT107" s="634"/>
      <c r="CU107" s="634"/>
    </row>
    <row r="108" spans="1:166" ht="15" customHeight="1"/>
    <row r="109" spans="1:166" ht="15" customHeight="1">
      <c r="CE109" s="955"/>
    </row>
    <row r="110" spans="1:166" ht="15" customHeight="1">
      <c r="N110" s="919"/>
    </row>
    <row r="111" spans="1:166" ht="15" customHeight="1"/>
    <row r="112" spans="1:166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</sheetData>
  <sheetProtection selectLockedCells="1" selectUnlockedCells="1"/>
  <mergeCells count="51">
    <mergeCell ref="BT2:BX2"/>
    <mergeCell ref="BY2:CC2"/>
    <mergeCell ref="CD2:CH2"/>
    <mergeCell ref="BF3:BH3"/>
    <mergeCell ref="CE3:CG3"/>
    <mergeCell ref="C3:E3"/>
    <mergeCell ref="H3:J3"/>
    <mergeCell ref="M3:O3"/>
    <mergeCell ref="R3:T3"/>
    <mergeCell ref="W3:Y3"/>
    <mergeCell ref="AB3:AD3"/>
    <mergeCell ref="BK3:BM3"/>
    <mergeCell ref="BP3:BR3"/>
    <mergeCell ref="BU3:BW3"/>
    <mergeCell ref="BZ3:CB3"/>
    <mergeCell ref="AG3:AI3"/>
    <mergeCell ref="AL3:AN3"/>
    <mergeCell ref="AQ3:AS3"/>
    <mergeCell ref="AV3:AX3"/>
    <mergeCell ref="BA3:BC3"/>
    <mergeCell ref="BZ1:CB1"/>
    <mergeCell ref="CE1:CG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AZ2:BD2"/>
    <mergeCell ref="BE2:BI2"/>
    <mergeCell ref="BJ2:BN2"/>
    <mergeCell ref="BO2:BS2"/>
    <mergeCell ref="BA1:BC1"/>
    <mergeCell ref="BF1:BH1"/>
    <mergeCell ref="BK1:BM1"/>
    <mergeCell ref="BP1:BR1"/>
    <mergeCell ref="BU1:BW1"/>
    <mergeCell ref="AB1:AD1"/>
    <mergeCell ref="AG1:AI1"/>
    <mergeCell ref="AL1:AN1"/>
    <mergeCell ref="AQ1:AS1"/>
    <mergeCell ref="AV1:AX1"/>
    <mergeCell ref="C1:E1"/>
    <mergeCell ref="H1:J1"/>
    <mergeCell ref="M1:O1"/>
    <mergeCell ref="R1:T1"/>
    <mergeCell ref="W1:Y1"/>
  </mergeCells>
  <printOptions horizontalCentered="1"/>
  <pageMargins left="0.43307086614173229" right="0.39370078740157483" top="0.74803149606299213" bottom="0.39370078740157483" header="7.874015748031496E-2" footer="0.19685039370078741"/>
  <pageSetup paperSize="9" scale="65" firstPageNumber="0" orientation="portrait" horizontalDpi="300" verticalDpi="300" r:id="rId1"/>
  <headerFooter alignWithMargins="0">
    <oddHeader>&amp;C&amp;"Arial CE,Félkövér"&amp;11
Bp. Főv. XV.ker Önk. költségvetési intézményei  2016. évi  előirányzatának  teljesítése (Ft)&amp;R&amp;8 4.1. m. a 2016. évi költségvetésről szóló 5/2016. (II.29.) ök.rendelet végrehajtásáról szóló 11/2017. (V.3.) ök.rendelethez</oddHeader>
    <oddFooter>&amp;C&amp;P. oldal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H154"/>
  <sheetViews>
    <sheetView view="pageBreakPreview" zoomScaleSheetLayoutView="100" workbookViewId="0">
      <pane xSplit="2" ySplit="6" topLeftCell="E7" activePane="bottomRight" state="frozen"/>
      <selection pane="topRight" activeCell="E1" sqref="E1"/>
      <selection pane="bottomLeft" activeCell="A58" sqref="A58"/>
      <selection pane="bottomRight" activeCell="BM99" sqref="BM99"/>
    </sheetView>
  </sheetViews>
  <sheetFormatPr defaultRowHeight="15"/>
  <cols>
    <col min="1" max="1" width="48.28515625" style="297" customWidth="1"/>
    <col min="2" max="2" width="13.5703125" style="297" customWidth="1"/>
    <col min="3" max="4" width="0" style="297" hidden="1" customWidth="1"/>
    <col min="5" max="5" width="13.7109375" style="630" customWidth="1"/>
    <col min="6" max="7" width="13.7109375" style="297" customWidth="1"/>
    <col min="8" max="8" width="0" style="630" hidden="1" customWidth="1"/>
    <col min="9" max="9" width="0" style="297" hidden="1" customWidth="1"/>
    <col min="10" max="10" width="13.7109375" style="630" customWidth="1"/>
    <col min="11" max="12" width="13.7109375" style="297" customWidth="1"/>
    <col min="13" max="13" width="0" style="630" hidden="1" customWidth="1"/>
    <col min="14" max="14" width="0" style="297" hidden="1" customWidth="1"/>
    <col min="15" max="15" width="13.7109375" style="630" customWidth="1"/>
    <col min="16" max="17" width="13.7109375" style="297" customWidth="1"/>
    <col min="18" max="18" width="0" style="630" hidden="1" customWidth="1"/>
    <col min="19" max="19" width="0" style="297" hidden="1" customWidth="1"/>
    <col min="20" max="20" width="13.7109375" style="630" customWidth="1"/>
    <col min="21" max="22" width="13.7109375" style="297" customWidth="1"/>
    <col min="23" max="23" width="0" style="630" hidden="1" customWidth="1"/>
    <col min="24" max="24" width="0" style="297" hidden="1" customWidth="1"/>
    <col min="25" max="25" width="13.7109375" style="630" customWidth="1"/>
    <col min="26" max="27" width="13.7109375" style="297" customWidth="1"/>
    <col min="28" max="28" width="0" style="630" hidden="1" customWidth="1"/>
    <col min="29" max="29" width="0" style="297" hidden="1" customWidth="1"/>
    <col min="30" max="30" width="13.7109375" style="630" customWidth="1"/>
    <col min="31" max="32" width="13.7109375" style="297" customWidth="1"/>
    <col min="33" max="33" width="0" style="630" hidden="1" customWidth="1"/>
    <col min="34" max="34" width="0" style="297" hidden="1" customWidth="1"/>
    <col min="35" max="35" width="13.7109375" style="630" customWidth="1"/>
    <col min="36" max="37" width="13.7109375" style="297" customWidth="1"/>
    <col min="38" max="39" width="0" style="297" hidden="1" customWidth="1"/>
    <col min="40" max="40" width="13.7109375" style="630" customWidth="1"/>
    <col min="41" max="41" width="13.7109375" style="297" customWidth="1"/>
    <col min="42" max="44" width="15.140625" style="630" customWidth="1"/>
    <col min="45" max="45" width="13.7109375" style="297" customWidth="1"/>
    <col min="46" max="46" width="0" style="630" hidden="1" customWidth="1"/>
    <col min="47" max="47" width="0" style="297" hidden="1" customWidth="1"/>
    <col min="48" max="48" width="13.7109375" style="630" customWidth="1"/>
    <col min="49" max="50" width="13.7109375" style="297" customWidth="1"/>
    <col min="51" max="51" width="0" style="630" hidden="1" customWidth="1"/>
    <col min="52" max="52" width="0" style="297" hidden="1" customWidth="1"/>
    <col min="53" max="53" width="13.7109375" style="630" customWidth="1"/>
    <col min="54" max="55" width="13.7109375" style="297" customWidth="1"/>
    <col min="56" max="56" width="0" style="630" hidden="1" customWidth="1"/>
    <col min="57" max="57" width="0" style="297" hidden="1" customWidth="1"/>
    <col min="58" max="58" width="13.7109375" style="630" customWidth="1"/>
    <col min="59" max="60" width="13.7109375" style="297" customWidth="1"/>
    <col min="61" max="62" width="0" style="297" hidden="1" customWidth="1"/>
    <col min="63" max="63" width="13.7109375" style="630" customWidth="1"/>
    <col min="64" max="65" width="13.7109375" style="297" customWidth="1"/>
    <col min="66" max="67" width="0" style="297" hidden="1" customWidth="1"/>
    <col min="68" max="68" width="16.42578125" style="630" customWidth="1"/>
    <col min="69" max="70" width="13.7109375" style="297" customWidth="1"/>
    <col min="71" max="72" width="0" style="297" hidden="1" customWidth="1"/>
    <col min="73" max="73" width="13.7109375" style="630" customWidth="1"/>
    <col min="74" max="74" width="13.7109375" style="297" customWidth="1"/>
    <col min="75" max="75" width="13.7109375" style="498" customWidth="1"/>
    <col min="76" max="77" width="0" style="498" hidden="1" customWidth="1"/>
    <col min="78" max="78" width="14.5703125" style="498" customWidth="1"/>
    <col min="79" max="79" width="14" style="498" customWidth="1"/>
    <col min="80" max="16384" width="9.140625" style="297"/>
  </cols>
  <sheetData>
    <row r="1" spans="1:92" s="630" customFormat="1" ht="12" customHeight="1">
      <c r="A1" s="957" t="s">
        <v>653</v>
      </c>
      <c r="B1" s="958"/>
      <c r="C1" s="1734">
        <v>1</v>
      </c>
      <c r="D1" s="1734"/>
      <c r="E1" s="1734"/>
      <c r="F1" s="959"/>
      <c r="G1" s="959"/>
      <c r="H1" s="1734">
        <v>2</v>
      </c>
      <c r="I1" s="1734"/>
      <c r="J1" s="1734"/>
      <c r="K1" s="959"/>
      <c r="L1" s="959"/>
      <c r="M1" s="1734">
        <v>3</v>
      </c>
      <c r="N1" s="1734"/>
      <c r="O1" s="1734"/>
      <c r="P1" s="959"/>
      <c r="Q1" s="959"/>
      <c r="R1" s="1734">
        <v>4</v>
      </c>
      <c r="S1" s="1734"/>
      <c r="T1" s="1734"/>
      <c r="U1" s="959"/>
      <c r="V1" s="959"/>
      <c r="W1" s="1734">
        <v>5</v>
      </c>
      <c r="X1" s="1734"/>
      <c r="Y1" s="1734"/>
      <c r="Z1" s="959"/>
      <c r="AA1" s="959"/>
      <c r="AB1" s="1734">
        <v>6</v>
      </c>
      <c r="AC1" s="1734"/>
      <c r="AD1" s="1734"/>
      <c r="AE1" s="959"/>
      <c r="AF1" s="959"/>
      <c r="AG1" s="1734">
        <v>7</v>
      </c>
      <c r="AH1" s="1734"/>
      <c r="AI1" s="1734"/>
      <c r="AJ1" s="959"/>
      <c r="AK1" s="959"/>
      <c r="AL1" s="1734">
        <v>8</v>
      </c>
      <c r="AM1" s="1734"/>
      <c r="AN1" s="1734"/>
      <c r="AO1" s="959"/>
      <c r="AP1" s="959"/>
      <c r="AQ1" s="959"/>
      <c r="AR1" s="959">
        <v>9</v>
      </c>
      <c r="AS1" s="959"/>
      <c r="AT1" s="1734">
        <v>10</v>
      </c>
      <c r="AU1" s="1734"/>
      <c r="AV1" s="1734"/>
      <c r="AW1" s="959"/>
      <c r="AX1" s="959"/>
      <c r="AY1" s="1734">
        <v>11</v>
      </c>
      <c r="AZ1" s="1734"/>
      <c r="BA1" s="1734"/>
      <c r="BB1" s="959"/>
      <c r="BC1" s="959"/>
      <c r="BD1" s="1734">
        <v>12</v>
      </c>
      <c r="BE1" s="1734"/>
      <c r="BF1" s="1734"/>
      <c r="BG1" s="959"/>
      <c r="BH1" s="959"/>
      <c r="BI1" s="1734">
        <v>13</v>
      </c>
      <c r="BJ1" s="1734"/>
      <c r="BK1" s="1734"/>
      <c r="BL1" s="959"/>
      <c r="BM1" s="959"/>
      <c r="BN1" s="1734">
        <v>14</v>
      </c>
      <c r="BO1" s="1734"/>
      <c r="BP1" s="1734"/>
      <c r="BQ1" s="959"/>
      <c r="BR1" s="959"/>
      <c r="BS1" s="1734">
        <v>15</v>
      </c>
      <c r="BT1" s="1734"/>
      <c r="BU1" s="1734"/>
      <c r="BV1" s="959"/>
      <c r="BW1" s="960"/>
      <c r="BX1" s="1735">
        <v>16</v>
      </c>
      <c r="BY1" s="1735"/>
      <c r="BZ1" s="1735"/>
      <c r="CA1" s="961"/>
    </row>
    <row r="2" spans="1:92" s="719" customFormat="1" ht="50.25" customHeight="1">
      <c r="A2" s="962" t="s">
        <v>654</v>
      </c>
      <c r="B2" s="1736" t="s">
        <v>784</v>
      </c>
      <c r="C2" s="1736"/>
      <c r="D2" s="1736"/>
      <c r="E2" s="1736"/>
      <c r="F2" s="1736"/>
      <c r="G2" s="1736" t="s">
        <v>785</v>
      </c>
      <c r="H2" s="1736"/>
      <c r="I2" s="1736"/>
      <c r="J2" s="1736"/>
      <c r="K2" s="1736"/>
      <c r="L2" s="1736" t="s">
        <v>215</v>
      </c>
      <c r="M2" s="1736"/>
      <c r="N2" s="1736"/>
      <c r="O2" s="1736"/>
      <c r="P2" s="1736"/>
      <c r="Q2" s="1736" t="s">
        <v>311</v>
      </c>
      <c r="R2" s="1736"/>
      <c r="S2" s="1736"/>
      <c r="T2" s="1736"/>
      <c r="U2" s="1736"/>
      <c r="V2" s="1736" t="s">
        <v>216</v>
      </c>
      <c r="W2" s="1736"/>
      <c r="X2" s="1736"/>
      <c r="Y2" s="1736"/>
      <c r="Z2" s="1736"/>
      <c r="AA2" s="1736" t="s">
        <v>786</v>
      </c>
      <c r="AB2" s="1736"/>
      <c r="AC2" s="1736"/>
      <c r="AD2" s="1736"/>
      <c r="AE2" s="1736"/>
      <c r="AF2" s="1736" t="s">
        <v>787</v>
      </c>
      <c r="AG2" s="1736"/>
      <c r="AH2" s="1736"/>
      <c r="AI2" s="1736"/>
      <c r="AJ2" s="1736"/>
      <c r="AK2" s="1736" t="s">
        <v>217</v>
      </c>
      <c r="AL2" s="1736"/>
      <c r="AM2" s="1736"/>
      <c r="AN2" s="1736"/>
      <c r="AO2" s="1736"/>
      <c r="AP2" s="1734" t="s">
        <v>788</v>
      </c>
      <c r="AQ2" s="1734"/>
      <c r="AR2" s="1734"/>
      <c r="AS2" s="1736" t="s">
        <v>218</v>
      </c>
      <c r="AT2" s="1736"/>
      <c r="AU2" s="1736"/>
      <c r="AV2" s="1736"/>
      <c r="AW2" s="1736"/>
      <c r="AX2" s="1736" t="s">
        <v>789</v>
      </c>
      <c r="AY2" s="1736"/>
      <c r="AZ2" s="1736"/>
      <c r="BA2" s="1736"/>
      <c r="BB2" s="1736"/>
      <c r="BC2" s="1736" t="s">
        <v>790</v>
      </c>
      <c r="BD2" s="1736"/>
      <c r="BE2" s="1736"/>
      <c r="BF2" s="1736"/>
      <c r="BG2" s="1736"/>
      <c r="BH2" s="1736" t="s">
        <v>317</v>
      </c>
      <c r="BI2" s="1736"/>
      <c r="BJ2" s="1736"/>
      <c r="BK2" s="1736"/>
      <c r="BL2" s="1736"/>
      <c r="BM2" s="1736" t="s">
        <v>791</v>
      </c>
      <c r="BN2" s="1736"/>
      <c r="BO2" s="1736"/>
      <c r="BP2" s="1736"/>
      <c r="BQ2" s="1736"/>
      <c r="BR2" s="1736" t="s">
        <v>792</v>
      </c>
      <c r="BS2" s="1736"/>
      <c r="BT2" s="1736"/>
      <c r="BU2" s="1736"/>
      <c r="BV2" s="1736"/>
      <c r="BW2" s="1737" t="s">
        <v>793</v>
      </c>
      <c r="BX2" s="1737"/>
      <c r="BY2" s="1737"/>
      <c r="BZ2" s="1737"/>
      <c r="CA2" s="1737"/>
    </row>
    <row r="3" spans="1:92" ht="13.5" customHeight="1">
      <c r="A3" s="962" t="s">
        <v>660</v>
      </c>
      <c r="B3" s="962"/>
      <c r="C3" s="1738">
        <v>852020</v>
      </c>
      <c r="D3" s="1738"/>
      <c r="E3" s="1738"/>
      <c r="F3" s="963"/>
      <c r="G3" s="963"/>
      <c r="H3" s="1738">
        <v>852010</v>
      </c>
      <c r="I3" s="1738"/>
      <c r="J3" s="1738"/>
      <c r="K3" s="963"/>
      <c r="L3" s="963"/>
      <c r="M3" s="1738">
        <v>852010</v>
      </c>
      <c r="N3" s="1738"/>
      <c r="O3" s="1738"/>
      <c r="P3" s="963"/>
      <c r="Q3" s="963"/>
      <c r="R3" s="1738">
        <v>852010</v>
      </c>
      <c r="S3" s="1738"/>
      <c r="T3" s="1738"/>
      <c r="U3" s="963"/>
      <c r="V3" s="963"/>
      <c r="W3" s="1738">
        <v>852010</v>
      </c>
      <c r="X3" s="1738"/>
      <c r="Y3" s="1738"/>
      <c r="Z3" s="963"/>
      <c r="AA3" s="963"/>
      <c r="AB3" s="1738">
        <v>852010</v>
      </c>
      <c r="AC3" s="1738"/>
      <c r="AD3" s="1738"/>
      <c r="AE3" s="963"/>
      <c r="AF3" s="963"/>
      <c r="AG3" s="1738">
        <v>852010</v>
      </c>
      <c r="AH3" s="1738"/>
      <c r="AI3" s="1738"/>
      <c r="AJ3" s="963"/>
      <c r="AK3" s="963"/>
      <c r="AL3" s="1738">
        <v>852010</v>
      </c>
      <c r="AM3" s="1738"/>
      <c r="AN3" s="1738"/>
      <c r="AO3" s="963"/>
      <c r="AP3" s="964"/>
      <c r="AQ3" s="964">
        <v>852010</v>
      </c>
      <c r="AS3" s="963"/>
      <c r="AT3" s="1738">
        <v>852010</v>
      </c>
      <c r="AU3" s="1738"/>
      <c r="AV3" s="1738"/>
      <c r="AW3" s="963"/>
      <c r="AX3" s="963"/>
      <c r="AY3" s="1738">
        <v>853100</v>
      </c>
      <c r="AZ3" s="1738"/>
      <c r="BA3" s="1738"/>
      <c r="BB3" s="963"/>
      <c r="BC3" s="963"/>
      <c r="BD3" s="1738">
        <v>853200</v>
      </c>
      <c r="BE3" s="1738"/>
      <c r="BF3" s="1738"/>
      <c r="BG3" s="963"/>
      <c r="BH3" s="963"/>
      <c r="BI3" s="1738">
        <v>856000</v>
      </c>
      <c r="BJ3" s="1738"/>
      <c r="BK3" s="1738"/>
      <c r="BL3" s="963"/>
      <c r="BM3" s="963"/>
      <c r="BN3" s="1738">
        <v>853100</v>
      </c>
      <c r="BO3" s="1738"/>
      <c r="BP3" s="1738"/>
      <c r="BQ3" s="963"/>
      <c r="BR3" s="963"/>
      <c r="BS3" s="1738">
        <v>853200</v>
      </c>
      <c r="BT3" s="1738"/>
      <c r="BU3" s="1738"/>
      <c r="BV3" s="963"/>
      <c r="BW3" s="965"/>
      <c r="BX3" s="1739" t="s">
        <v>661</v>
      </c>
      <c r="BY3" s="1739"/>
      <c r="BZ3" s="1739"/>
      <c r="CA3" s="966"/>
    </row>
    <row r="4" spans="1:92" ht="13.5" hidden="1" customHeight="1">
      <c r="A4" s="967" t="s">
        <v>662</v>
      </c>
      <c r="B4" s="968"/>
      <c r="C4" s="969"/>
      <c r="D4" s="970" t="s">
        <v>664</v>
      </c>
      <c r="E4" s="971"/>
      <c r="F4" s="970"/>
      <c r="G4" s="970"/>
      <c r="H4" s="969"/>
      <c r="I4" s="970" t="s">
        <v>664</v>
      </c>
      <c r="J4" s="971"/>
      <c r="K4" s="970"/>
      <c r="L4" s="970"/>
      <c r="M4" s="969"/>
      <c r="N4" s="970" t="s">
        <v>664</v>
      </c>
      <c r="O4" s="971"/>
      <c r="P4" s="970"/>
      <c r="Q4" s="970"/>
      <c r="R4" s="969"/>
      <c r="S4" s="970" t="s">
        <v>664</v>
      </c>
      <c r="T4" s="971"/>
      <c r="U4" s="970"/>
      <c r="V4" s="970"/>
      <c r="W4" s="969"/>
      <c r="X4" s="970" t="s">
        <v>664</v>
      </c>
      <c r="Y4" s="971"/>
      <c r="Z4" s="970"/>
      <c r="AA4" s="970"/>
      <c r="AB4" s="969"/>
      <c r="AC4" s="970" t="s">
        <v>664</v>
      </c>
      <c r="AD4" s="971"/>
      <c r="AE4" s="970"/>
      <c r="AF4" s="970"/>
      <c r="AG4" s="969"/>
      <c r="AH4" s="970" t="s">
        <v>664</v>
      </c>
      <c r="AI4" s="971"/>
      <c r="AJ4" s="970"/>
      <c r="AK4" s="970"/>
      <c r="AL4" s="1740" t="s">
        <v>664</v>
      </c>
      <c r="AM4" s="1740"/>
      <c r="AN4" s="1740"/>
      <c r="AO4" s="972"/>
      <c r="AP4" s="973"/>
      <c r="AQ4" s="973"/>
      <c r="AR4" s="973"/>
      <c r="AS4" s="972"/>
      <c r="AT4" s="969"/>
      <c r="AU4" s="970" t="s">
        <v>664</v>
      </c>
      <c r="AV4" s="971"/>
      <c r="AW4" s="970"/>
      <c r="AX4" s="970"/>
      <c r="AY4" s="969"/>
      <c r="AZ4" s="970" t="s">
        <v>664</v>
      </c>
      <c r="BA4" s="971"/>
      <c r="BB4" s="970"/>
      <c r="BC4" s="970"/>
      <c r="BD4" s="969"/>
      <c r="BE4" s="970"/>
      <c r="BF4" s="971"/>
      <c r="BG4" s="970"/>
      <c r="BH4" s="970"/>
      <c r="BI4" s="969"/>
      <c r="BJ4" s="970" t="s">
        <v>664</v>
      </c>
      <c r="BK4" s="971"/>
      <c r="BL4" s="970"/>
      <c r="BM4" s="970"/>
      <c r="BN4" s="969"/>
      <c r="BO4" s="970" t="s">
        <v>664</v>
      </c>
      <c r="BP4" s="971"/>
      <c r="BQ4" s="970"/>
      <c r="BR4" s="970"/>
      <c r="BS4" s="969"/>
      <c r="BT4" s="970" t="s">
        <v>664</v>
      </c>
      <c r="BU4" s="971"/>
      <c r="BV4" s="970"/>
      <c r="BW4" s="311"/>
      <c r="BX4" s="974"/>
      <c r="BY4" s="975"/>
      <c r="BZ4" s="976"/>
    </row>
    <row r="5" spans="1:92" ht="39" customHeight="1">
      <c r="A5" s="962" t="s">
        <v>665</v>
      </c>
      <c r="B5" s="853" t="s">
        <v>2</v>
      </c>
      <c r="C5" s="853" t="s">
        <v>139</v>
      </c>
      <c r="D5" s="833" t="s">
        <v>4</v>
      </c>
      <c r="E5" s="853" t="s">
        <v>5</v>
      </c>
      <c r="F5" s="833" t="s">
        <v>140</v>
      </c>
      <c r="G5" s="853" t="s">
        <v>2</v>
      </c>
      <c r="H5" s="853" t="s">
        <v>139</v>
      </c>
      <c r="I5" s="833" t="s">
        <v>4</v>
      </c>
      <c r="J5" s="853" t="s">
        <v>5</v>
      </c>
      <c r="K5" s="833" t="s">
        <v>140</v>
      </c>
      <c r="L5" s="853" t="s">
        <v>2</v>
      </c>
      <c r="M5" s="853" t="s">
        <v>139</v>
      </c>
      <c r="N5" s="833" t="s">
        <v>4</v>
      </c>
      <c r="O5" s="853" t="s">
        <v>5</v>
      </c>
      <c r="P5" s="833" t="s">
        <v>140</v>
      </c>
      <c r="Q5" s="853" t="s">
        <v>2</v>
      </c>
      <c r="R5" s="853" t="s">
        <v>139</v>
      </c>
      <c r="S5" s="833" t="s">
        <v>4</v>
      </c>
      <c r="T5" s="853" t="s">
        <v>5</v>
      </c>
      <c r="U5" s="833" t="s">
        <v>140</v>
      </c>
      <c r="V5" s="853" t="s">
        <v>2</v>
      </c>
      <c r="W5" s="853" t="s">
        <v>139</v>
      </c>
      <c r="X5" s="833" t="s">
        <v>4</v>
      </c>
      <c r="Y5" s="853" t="s">
        <v>5</v>
      </c>
      <c r="Z5" s="833" t="s">
        <v>140</v>
      </c>
      <c r="AA5" s="853" t="s">
        <v>2</v>
      </c>
      <c r="AB5" s="853" t="s">
        <v>139</v>
      </c>
      <c r="AC5" s="833" t="s">
        <v>4</v>
      </c>
      <c r="AD5" s="853" t="s">
        <v>5</v>
      </c>
      <c r="AE5" s="833" t="s">
        <v>140</v>
      </c>
      <c r="AF5" s="853" t="s">
        <v>2</v>
      </c>
      <c r="AG5" s="853" t="s">
        <v>139</v>
      </c>
      <c r="AH5" s="833" t="s">
        <v>4</v>
      </c>
      <c r="AI5" s="853" t="s">
        <v>5</v>
      </c>
      <c r="AJ5" s="833" t="s">
        <v>140</v>
      </c>
      <c r="AK5" s="853" t="s">
        <v>2</v>
      </c>
      <c r="AL5" s="853" t="s">
        <v>139</v>
      </c>
      <c r="AM5" s="833" t="s">
        <v>4</v>
      </c>
      <c r="AN5" s="853" t="s">
        <v>5</v>
      </c>
      <c r="AO5" s="833" t="s">
        <v>140</v>
      </c>
      <c r="AP5" s="853" t="s">
        <v>2</v>
      </c>
      <c r="AQ5" s="833" t="s">
        <v>5</v>
      </c>
      <c r="AR5" s="833" t="s">
        <v>140</v>
      </c>
      <c r="AS5" s="853" t="s">
        <v>2</v>
      </c>
      <c r="AT5" s="853" t="s">
        <v>139</v>
      </c>
      <c r="AU5" s="833" t="s">
        <v>4</v>
      </c>
      <c r="AV5" s="853" t="s">
        <v>5</v>
      </c>
      <c r="AW5" s="833" t="s">
        <v>140</v>
      </c>
      <c r="AX5" s="853" t="s">
        <v>2</v>
      </c>
      <c r="AY5" s="853" t="s">
        <v>139</v>
      </c>
      <c r="AZ5" s="833" t="s">
        <v>4</v>
      </c>
      <c r="BA5" s="853" t="s">
        <v>5</v>
      </c>
      <c r="BB5" s="833" t="s">
        <v>140</v>
      </c>
      <c r="BC5" s="853" t="s">
        <v>2</v>
      </c>
      <c r="BD5" s="853" t="s">
        <v>139</v>
      </c>
      <c r="BE5" s="833" t="s">
        <v>4</v>
      </c>
      <c r="BF5" s="853" t="s">
        <v>5</v>
      </c>
      <c r="BG5" s="833" t="s">
        <v>140</v>
      </c>
      <c r="BH5" s="853" t="s">
        <v>2</v>
      </c>
      <c r="BI5" s="853" t="s">
        <v>139</v>
      </c>
      <c r="BJ5" s="833" t="s">
        <v>4</v>
      </c>
      <c r="BK5" s="853" t="s">
        <v>5</v>
      </c>
      <c r="BL5" s="833" t="s">
        <v>140</v>
      </c>
      <c r="BM5" s="853" t="s">
        <v>2</v>
      </c>
      <c r="BN5" s="853" t="s">
        <v>139</v>
      </c>
      <c r="BO5" s="833" t="s">
        <v>4</v>
      </c>
      <c r="BP5" s="853" t="s">
        <v>5</v>
      </c>
      <c r="BQ5" s="833" t="s">
        <v>140</v>
      </c>
      <c r="BR5" s="853" t="s">
        <v>2</v>
      </c>
      <c r="BS5" s="853" t="s">
        <v>139</v>
      </c>
      <c r="BT5" s="833" t="s">
        <v>4</v>
      </c>
      <c r="BU5" s="853" t="s">
        <v>5</v>
      </c>
      <c r="BV5" s="833" t="s">
        <v>140</v>
      </c>
      <c r="BW5" s="854" t="s">
        <v>2</v>
      </c>
      <c r="BX5" s="854" t="s">
        <v>139</v>
      </c>
      <c r="BY5" s="837" t="s">
        <v>4</v>
      </c>
      <c r="BZ5" s="854" t="s">
        <v>5</v>
      </c>
      <c r="CA5" s="837" t="s">
        <v>140</v>
      </c>
    </row>
    <row r="6" spans="1:92">
      <c r="A6" s="977"/>
      <c r="B6" s="977">
        <v>1</v>
      </c>
      <c r="C6" s="977" t="s">
        <v>75</v>
      </c>
      <c r="D6" s="977" t="s">
        <v>76</v>
      </c>
      <c r="E6" s="978">
        <v>2</v>
      </c>
      <c r="F6" s="977">
        <v>3</v>
      </c>
      <c r="G6" s="977">
        <v>4</v>
      </c>
      <c r="H6" s="977" t="s">
        <v>77</v>
      </c>
      <c r="I6" s="977" t="s">
        <v>78</v>
      </c>
      <c r="J6" s="978">
        <v>5</v>
      </c>
      <c r="K6" s="977">
        <v>6</v>
      </c>
      <c r="L6" s="977">
        <v>7</v>
      </c>
      <c r="M6" s="977" t="s">
        <v>79</v>
      </c>
      <c r="N6" s="977" t="s">
        <v>80</v>
      </c>
      <c r="O6" s="978">
        <v>8</v>
      </c>
      <c r="P6" s="977">
        <v>9</v>
      </c>
      <c r="Q6" s="977">
        <v>10</v>
      </c>
      <c r="R6" s="977" t="s">
        <v>794</v>
      </c>
      <c r="S6" s="977" t="s">
        <v>795</v>
      </c>
      <c r="T6" s="978">
        <v>11</v>
      </c>
      <c r="U6" s="977">
        <v>12</v>
      </c>
      <c r="V6" s="977">
        <v>13</v>
      </c>
      <c r="W6" s="977" t="s">
        <v>666</v>
      </c>
      <c r="X6" s="977" t="s">
        <v>667</v>
      </c>
      <c r="Y6" s="978">
        <v>14</v>
      </c>
      <c r="Z6" s="977">
        <v>15</v>
      </c>
      <c r="AA6" s="977">
        <v>16</v>
      </c>
      <c r="AB6" s="977" t="s">
        <v>668</v>
      </c>
      <c r="AC6" s="977" t="s">
        <v>669</v>
      </c>
      <c r="AD6" s="978">
        <v>17</v>
      </c>
      <c r="AE6" s="977">
        <v>18</v>
      </c>
      <c r="AF6" s="977">
        <v>19</v>
      </c>
      <c r="AG6" s="977" t="s">
        <v>670</v>
      </c>
      <c r="AH6" s="977" t="s">
        <v>671</v>
      </c>
      <c r="AI6" s="978">
        <v>20</v>
      </c>
      <c r="AJ6" s="977">
        <v>21</v>
      </c>
      <c r="AK6" s="977">
        <v>22</v>
      </c>
      <c r="AL6" s="977" t="s">
        <v>672</v>
      </c>
      <c r="AM6" s="977" t="s">
        <v>673</v>
      </c>
      <c r="AN6" s="978">
        <v>23</v>
      </c>
      <c r="AO6" s="977">
        <v>24</v>
      </c>
      <c r="AP6" s="978">
        <v>25</v>
      </c>
      <c r="AQ6" s="978">
        <v>26</v>
      </c>
      <c r="AR6" s="978">
        <v>27</v>
      </c>
      <c r="AS6" s="977">
        <v>28</v>
      </c>
      <c r="AT6" s="977" t="s">
        <v>674</v>
      </c>
      <c r="AU6" s="977" t="s">
        <v>675</v>
      </c>
      <c r="AV6" s="978">
        <v>29</v>
      </c>
      <c r="AW6" s="977">
        <v>30</v>
      </c>
      <c r="AX6" s="977">
        <v>31</v>
      </c>
      <c r="AY6" s="977" t="s">
        <v>676</v>
      </c>
      <c r="AZ6" s="977" t="s">
        <v>677</v>
      </c>
      <c r="BA6" s="978">
        <v>32</v>
      </c>
      <c r="BB6" s="977">
        <v>33</v>
      </c>
      <c r="BC6" s="977">
        <v>34</v>
      </c>
      <c r="BD6" s="977" t="s">
        <v>678</v>
      </c>
      <c r="BE6" s="977" t="s">
        <v>679</v>
      </c>
      <c r="BF6" s="978">
        <v>35</v>
      </c>
      <c r="BG6" s="977">
        <v>36</v>
      </c>
      <c r="BH6" s="977">
        <v>37</v>
      </c>
      <c r="BI6" s="977" t="s">
        <v>680</v>
      </c>
      <c r="BJ6" s="977" t="s">
        <v>681</v>
      </c>
      <c r="BK6" s="978">
        <v>38</v>
      </c>
      <c r="BL6" s="977">
        <v>39</v>
      </c>
      <c r="BM6" s="977">
        <v>40</v>
      </c>
      <c r="BN6" s="977" t="s">
        <v>682</v>
      </c>
      <c r="BO6" s="977" t="s">
        <v>683</v>
      </c>
      <c r="BP6" s="978">
        <v>41</v>
      </c>
      <c r="BQ6" s="977">
        <v>42</v>
      </c>
      <c r="BR6" s="977">
        <v>43</v>
      </c>
      <c r="BS6" s="977" t="s">
        <v>684</v>
      </c>
      <c r="BT6" s="977" t="s">
        <v>685</v>
      </c>
      <c r="BU6" s="978">
        <v>44</v>
      </c>
      <c r="BV6" s="977">
        <v>45</v>
      </c>
      <c r="BW6" s="979">
        <v>46</v>
      </c>
      <c r="BX6" s="979" t="s">
        <v>686</v>
      </c>
      <c r="BY6" s="979" t="s">
        <v>687</v>
      </c>
      <c r="BZ6" s="979">
        <v>47</v>
      </c>
      <c r="CA6" s="979">
        <v>48</v>
      </c>
    </row>
    <row r="7" spans="1:92" s="986" customFormat="1" ht="12" customHeight="1">
      <c r="A7" s="980"/>
      <c r="B7" s="980"/>
      <c r="C7" s="980"/>
      <c r="D7" s="980"/>
      <c r="E7" s="980"/>
      <c r="F7" s="980"/>
      <c r="G7" s="980"/>
      <c r="H7" s="981"/>
      <c r="I7" s="981"/>
      <c r="J7" s="981"/>
      <c r="K7" s="981"/>
      <c r="L7" s="981"/>
      <c r="M7" s="981"/>
      <c r="N7" s="981"/>
      <c r="O7" s="981"/>
      <c r="P7" s="981"/>
      <c r="Q7" s="981"/>
      <c r="R7" s="981"/>
      <c r="S7" s="981"/>
      <c r="T7" s="981"/>
      <c r="U7" s="981"/>
      <c r="V7" s="981"/>
      <c r="W7" s="981"/>
      <c r="X7" s="981"/>
      <c r="Y7" s="982"/>
      <c r="Z7" s="982"/>
      <c r="AA7" s="982"/>
      <c r="AB7" s="981"/>
      <c r="AC7" s="981"/>
      <c r="AD7" s="982"/>
      <c r="AE7" s="982"/>
      <c r="AF7" s="982"/>
      <c r="AG7" s="981"/>
      <c r="AH7" s="981"/>
      <c r="AI7" s="981"/>
      <c r="AJ7" s="981"/>
      <c r="AK7" s="981"/>
      <c r="AL7" s="983"/>
      <c r="AM7" s="983"/>
      <c r="AN7" s="981"/>
      <c r="AO7" s="981"/>
      <c r="AP7" s="981"/>
      <c r="AQ7" s="981"/>
      <c r="AR7" s="981"/>
      <c r="AS7" s="981"/>
      <c r="AT7" s="981"/>
      <c r="AU7" s="981"/>
      <c r="AV7" s="981"/>
      <c r="AW7" s="981"/>
      <c r="AX7" s="981"/>
      <c r="AY7" s="981"/>
      <c r="AZ7" s="981"/>
      <c r="BA7" s="981"/>
      <c r="BB7" s="981"/>
      <c r="BC7" s="981"/>
      <c r="BD7" s="981"/>
      <c r="BE7" s="981"/>
      <c r="BF7" s="981"/>
      <c r="BG7" s="981"/>
      <c r="BH7" s="981"/>
      <c r="BI7" s="981"/>
      <c r="BJ7" s="981"/>
      <c r="BK7" s="981"/>
      <c r="BL7" s="981"/>
      <c r="BM7" s="981"/>
      <c r="BN7" s="981"/>
      <c r="BO7" s="981"/>
      <c r="BP7" s="981"/>
      <c r="BQ7" s="981"/>
      <c r="BR7" s="981"/>
      <c r="BS7" s="981"/>
      <c r="BT7" s="981"/>
      <c r="BU7" s="981"/>
      <c r="BV7" s="981"/>
      <c r="BW7" s="984"/>
      <c r="BX7" s="984"/>
      <c r="BY7" s="984"/>
      <c r="BZ7" s="984"/>
      <c r="CA7" s="985"/>
    </row>
    <row r="8" spans="1:92" s="996" customFormat="1" ht="11.25" customHeight="1">
      <c r="A8" s="987" t="s">
        <v>796</v>
      </c>
      <c r="B8" s="987"/>
      <c r="C8" s="987"/>
      <c r="D8" s="988"/>
      <c r="E8" s="981">
        <f>SUM(C8+D8)</f>
        <v>0</v>
      </c>
      <c r="F8" s="989"/>
      <c r="G8" s="989"/>
      <c r="H8" s="981"/>
      <c r="I8" s="988"/>
      <c r="J8" s="981">
        <f>SUM(H8+I8)</f>
        <v>0</v>
      </c>
      <c r="K8" s="989"/>
      <c r="L8" s="989"/>
      <c r="M8" s="981"/>
      <c r="N8" s="988"/>
      <c r="O8" s="981">
        <f>SUM(M8+N8)</f>
        <v>0</v>
      </c>
      <c r="P8" s="989"/>
      <c r="Q8" s="989"/>
      <c r="R8" s="989"/>
      <c r="S8" s="988"/>
      <c r="T8" s="981">
        <f>SUM(R8+S8)</f>
        <v>0</v>
      </c>
      <c r="U8" s="989"/>
      <c r="V8" s="989"/>
      <c r="W8" s="981"/>
      <c r="X8" s="988"/>
      <c r="Y8" s="982">
        <f>SUM(W8+X8)</f>
        <v>0</v>
      </c>
      <c r="Z8" s="989"/>
      <c r="AA8" s="990"/>
      <c r="AB8" s="981"/>
      <c r="AC8" s="988"/>
      <c r="AD8" s="982">
        <f>SUM(AB8:AC8)</f>
        <v>0</v>
      </c>
      <c r="AE8" s="989"/>
      <c r="AF8" s="990"/>
      <c r="AG8" s="981"/>
      <c r="AH8" s="988"/>
      <c r="AI8" s="981">
        <f>SUM(AG8+AH8)</f>
        <v>0</v>
      </c>
      <c r="AJ8" s="989"/>
      <c r="AK8" s="989"/>
      <c r="AL8" s="991"/>
      <c r="AM8" s="992"/>
      <c r="AN8" s="981">
        <f>SUM(AL8+AM8)</f>
        <v>0</v>
      </c>
      <c r="AO8" s="989"/>
      <c r="AP8" s="981"/>
      <c r="AQ8" s="981">
        <v>0</v>
      </c>
      <c r="AR8" s="981"/>
      <c r="AS8" s="981"/>
      <c r="AT8" s="981"/>
      <c r="AU8" s="988"/>
      <c r="AV8" s="981">
        <f>SUM(AT8+AU8)</f>
        <v>0</v>
      </c>
      <c r="AW8" s="989"/>
      <c r="AX8" s="981"/>
      <c r="AY8" s="981"/>
      <c r="AZ8" s="988"/>
      <c r="BA8" s="981">
        <f>SUM(AY8+AZ8)</f>
        <v>0</v>
      </c>
      <c r="BB8" s="989"/>
      <c r="BC8" s="981"/>
      <c r="BD8" s="981"/>
      <c r="BE8" s="988"/>
      <c r="BF8" s="981">
        <f>SUM(BD8+BE8)</f>
        <v>0</v>
      </c>
      <c r="BG8" s="989"/>
      <c r="BH8" s="981"/>
      <c r="BI8" s="981"/>
      <c r="BJ8" s="988"/>
      <c r="BK8" s="981">
        <f>SUM(BI8+BJ8)</f>
        <v>0</v>
      </c>
      <c r="BL8" s="989"/>
      <c r="BM8" s="981"/>
      <c r="BN8" s="981"/>
      <c r="BO8" s="988"/>
      <c r="BP8" s="981">
        <f>SUM(BN8+BO8)</f>
        <v>0</v>
      </c>
      <c r="BQ8" s="989"/>
      <c r="BR8" s="981"/>
      <c r="BS8" s="981"/>
      <c r="BT8" s="988"/>
      <c r="BU8" s="981">
        <f>SUM(BS8+BT8)</f>
        <v>0</v>
      </c>
      <c r="BV8" s="989"/>
      <c r="BW8" s="993">
        <f>SUM(B8+G8+L8+Q8+V8+AA8+AF8+AK8+AS8+AX8+BC8+BH8+BM8+BR8)</f>
        <v>0</v>
      </c>
      <c r="BX8" s="993">
        <f>SUM(C8+H8+M8+R8+W8+AB8+AG8+AL8+AT8+AY8+BD8+BI8+BN8+BS8)</f>
        <v>0</v>
      </c>
      <c r="BY8" s="994">
        <f>SUM(I8+N8+S8+X8+AC8+AH8+AM8+AU8+AZ8+BE8+BJ8+BO8+BT8+D8)</f>
        <v>0</v>
      </c>
      <c r="BZ8" s="993">
        <f>SUM(BX8+BY8)</f>
        <v>0</v>
      </c>
      <c r="CA8" s="995">
        <f>SUM(F8+K8+P8+U8+Z8+AE8+AJ8+AO8+AW8+BB8+BG8+BL8+BQ8+BV8)</f>
        <v>0</v>
      </c>
    </row>
    <row r="9" spans="1:92" s="996" customFormat="1" ht="15" customHeight="1">
      <c r="A9" s="987" t="s">
        <v>797</v>
      </c>
      <c r="B9" s="987"/>
      <c r="C9" s="987"/>
      <c r="D9" s="988"/>
      <c r="E9" s="981">
        <f>SUM(C9+D9)</f>
        <v>0</v>
      </c>
      <c r="F9" s="989"/>
      <c r="G9" s="989"/>
      <c r="H9" s="981"/>
      <c r="I9" s="988"/>
      <c r="J9" s="981">
        <f>SUM(H9+I9)</f>
        <v>0</v>
      </c>
      <c r="K9" s="989"/>
      <c r="L9" s="989"/>
      <c r="M9" s="981"/>
      <c r="N9" s="988"/>
      <c r="O9" s="981">
        <f>SUM(M9+N9)</f>
        <v>0</v>
      </c>
      <c r="P9" s="989"/>
      <c r="Q9" s="989"/>
      <c r="R9" s="989"/>
      <c r="S9" s="988"/>
      <c r="T9" s="981">
        <f>SUM(R9+S9)</f>
        <v>0</v>
      </c>
      <c r="U9" s="989"/>
      <c r="V9" s="989"/>
      <c r="W9" s="981"/>
      <c r="X9" s="988"/>
      <c r="Y9" s="982">
        <f>SUM(W9+X9)</f>
        <v>0</v>
      </c>
      <c r="Z9" s="990"/>
      <c r="AA9" s="990"/>
      <c r="AB9" s="981"/>
      <c r="AC9" s="988"/>
      <c r="AD9" s="982">
        <f>SUM(AB9:AC9)</f>
        <v>0</v>
      </c>
      <c r="AE9" s="990"/>
      <c r="AF9" s="990"/>
      <c r="AG9" s="981"/>
      <c r="AH9" s="988"/>
      <c r="AI9" s="981">
        <f>SUM(AG9+AH9)</f>
        <v>0</v>
      </c>
      <c r="AJ9" s="989"/>
      <c r="AK9" s="989"/>
      <c r="AL9" s="991"/>
      <c r="AM9" s="992"/>
      <c r="AN9" s="981">
        <f>SUM(AL9+AM9)</f>
        <v>0</v>
      </c>
      <c r="AO9" s="981"/>
      <c r="AP9" s="981"/>
      <c r="AQ9" s="981"/>
      <c r="AR9" s="981"/>
      <c r="AS9" s="981"/>
      <c r="AT9" s="981"/>
      <c r="AU9" s="988"/>
      <c r="AV9" s="981">
        <f>SUM(AT9+AU9)</f>
        <v>0</v>
      </c>
      <c r="AW9" s="981"/>
      <c r="AX9" s="981"/>
      <c r="AY9" s="981"/>
      <c r="AZ9" s="988"/>
      <c r="BA9" s="981">
        <f>SUM(AY9+AZ9)</f>
        <v>0</v>
      </c>
      <c r="BB9" s="981"/>
      <c r="BC9" s="981"/>
      <c r="BD9" s="981"/>
      <c r="BE9" s="988"/>
      <c r="BF9" s="981">
        <f>SUM(BD9+BE9)</f>
        <v>0</v>
      </c>
      <c r="BG9" s="981"/>
      <c r="BH9" s="981"/>
      <c r="BI9" s="981"/>
      <c r="BJ9" s="988"/>
      <c r="BK9" s="981">
        <f>SUM(BI9+BJ9)</f>
        <v>0</v>
      </c>
      <c r="BL9" s="981"/>
      <c r="BM9" s="981"/>
      <c r="BN9" s="981"/>
      <c r="BO9" s="988"/>
      <c r="BP9" s="981">
        <f>SUM(BN9+BO9)</f>
        <v>0</v>
      </c>
      <c r="BQ9" s="981"/>
      <c r="BR9" s="981"/>
      <c r="BS9" s="981"/>
      <c r="BT9" s="988"/>
      <c r="BU9" s="981">
        <f>SUM(BS9+BT9)</f>
        <v>0</v>
      </c>
      <c r="BV9" s="981"/>
      <c r="BW9" s="993">
        <f t="shared" ref="BW9:BY11" si="0">SUM(G9+L9+Q9+V9+AA9+AF9+AK9+AS9+AX9+BC9+BH9+BM9+BR9)</f>
        <v>0</v>
      </c>
      <c r="BX9" s="993">
        <f t="shared" si="0"/>
        <v>0</v>
      </c>
      <c r="BY9" s="994">
        <f t="shared" si="0"/>
        <v>0</v>
      </c>
      <c r="BZ9" s="993">
        <f>SUM(BX9+BY9)</f>
        <v>0</v>
      </c>
      <c r="CA9" s="997"/>
    </row>
    <row r="10" spans="1:92" s="1001" customFormat="1" ht="15" customHeight="1">
      <c r="A10" s="987" t="s">
        <v>798</v>
      </c>
      <c r="B10" s="987"/>
      <c r="C10" s="987"/>
      <c r="D10" s="988"/>
      <c r="E10" s="981">
        <f>SUM(C10+D10)</f>
        <v>0</v>
      </c>
      <c r="F10" s="989"/>
      <c r="G10" s="989"/>
      <c r="H10" s="981"/>
      <c r="I10" s="988"/>
      <c r="J10" s="981">
        <f>SUM(H10+I10)</f>
        <v>0</v>
      </c>
      <c r="K10" s="989"/>
      <c r="L10" s="989"/>
      <c r="M10" s="981"/>
      <c r="N10" s="988"/>
      <c r="O10" s="981">
        <f>SUM(M10+N10)</f>
        <v>0</v>
      </c>
      <c r="P10" s="989"/>
      <c r="Q10" s="989"/>
      <c r="R10" s="989"/>
      <c r="S10" s="988"/>
      <c r="T10" s="981">
        <f>SUM(R10+S10)</f>
        <v>0</v>
      </c>
      <c r="U10" s="989"/>
      <c r="V10" s="989"/>
      <c r="W10" s="981"/>
      <c r="X10" s="988"/>
      <c r="Y10" s="982">
        <f>SUM(W10+X10)</f>
        <v>0</v>
      </c>
      <c r="Z10" s="990"/>
      <c r="AA10" s="990"/>
      <c r="AB10" s="981"/>
      <c r="AC10" s="988"/>
      <c r="AD10" s="982">
        <f>SUM(AB10:AC10)</f>
        <v>0</v>
      </c>
      <c r="AE10" s="990"/>
      <c r="AF10" s="990"/>
      <c r="AG10" s="981"/>
      <c r="AH10" s="988"/>
      <c r="AI10" s="981">
        <f>SUM(AG10+AH10)</f>
        <v>0</v>
      </c>
      <c r="AJ10" s="989"/>
      <c r="AK10" s="989"/>
      <c r="AL10" s="991"/>
      <c r="AM10" s="988"/>
      <c r="AN10" s="981">
        <f>SUM(AL10+AM10)</f>
        <v>0</v>
      </c>
      <c r="AO10" s="989"/>
      <c r="AP10" s="981"/>
      <c r="AQ10" s="981"/>
      <c r="AR10" s="981"/>
      <c r="AS10" s="989"/>
      <c r="AT10" s="981"/>
      <c r="AU10" s="988"/>
      <c r="AV10" s="981">
        <f>SUM(AT10+AU10)</f>
        <v>0</v>
      </c>
      <c r="AW10" s="989"/>
      <c r="AX10" s="989"/>
      <c r="AY10" s="981"/>
      <c r="AZ10" s="988"/>
      <c r="BA10" s="981">
        <f>SUM(AY10+AZ10)</f>
        <v>0</v>
      </c>
      <c r="BB10" s="989"/>
      <c r="BC10" s="989"/>
      <c r="BD10" s="981"/>
      <c r="BE10" s="988"/>
      <c r="BF10" s="981">
        <f>SUM(BD10+BE10)</f>
        <v>0</v>
      </c>
      <c r="BG10" s="989"/>
      <c r="BH10" s="989"/>
      <c r="BI10" s="981"/>
      <c r="BJ10" s="988"/>
      <c r="BK10" s="981">
        <f>SUM(BI10+BJ10)</f>
        <v>0</v>
      </c>
      <c r="BL10" s="989"/>
      <c r="BM10" s="989"/>
      <c r="BN10" s="981"/>
      <c r="BO10" s="988"/>
      <c r="BP10" s="981">
        <f>SUM(BN10+BO10)</f>
        <v>0</v>
      </c>
      <c r="BQ10" s="989"/>
      <c r="BR10" s="989"/>
      <c r="BS10" s="981"/>
      <c r="BT10" s="988"/>
      <c r="BU10" s="981">
        <f>SUM(BS10+BT10)</f>
        <v>0</v>
      </c>
      <c r="BV10" s="989"/>
      <c r="BW10" s="993">
        <f t="shared" si="0"/>
        <v>0</v>
      </c>
      <c r="BX10" s="993">
        <f t="shared" si="0"/>
        <v>0</v>
      </c>
      <c r="BY10" s="994">
        <f t="shared" si="0"/>
        <v>0</v>
      </c>
      <c r="BZ10" s="998">
        <f>SUM(BX10+BY10)</f>
        <v>0</v>
      </c>
      <c r="CA10" s="999"/>
      <c r="CB10" s="1000"/>
      <c r="CC10" s="1000"/>
      <c r="CD10" s="1000"/>
      <c r="CE10" s="1000"/>
      <c r="CF10" s="1000"/>
      <c r="CG10" s="1000"/>
      <c r="CH10" s="1000"/>
      <c r="CI10" s="1000"/>
      <c r="CJ10" s="1000"/>
      <c r="CK10" s="1000"/>
      <c r="CL10" s="1000"/>
      <c r="CM10" s="1000"/>
      <c r="CN10" s="1000"/>
    </row>
    <row r="11" spans="1:92" s="1001" customFormat="1" ht="15" customHeight="1">
      <c r="A11" s="987" t="s">
        <v>799</v>
      </c>
      <c r="B11" s="987"/>
      <c r="C11" s="987"/>
      <c r="D11" s="988"/>
      <c r="E11" s="981">
        <f>SUM(C11+D11)</f>
        <v>0</v>
      </c>
      <c r="F11" s="989"/>
      <c r="G11" s="989"/>
      <c r="H11" s="981"/>
      <c r="I11" s="988"/>
      <c r="J11" s="981">
        <f>SUM(H11+I11)</f>
        <v>0</v>
      </c>
      <c r="K11" s="989"/>
      <c r="L11" s="989"/>
      <c r="M11" s="981"/>
      <c r="N11" s="988"/>
      <c r="O11" s="981">
        <f>SUM(M11+N11)</f>
        <v>0</v>
      </c>
      <c r="P11" s="989"/>
      <c r="Q11" s="989"/>
      <c r="R11" s="989"/>
      <c r="S11" s="988"/>
      <c r="T11" s="981">
        <f>SUM(R11+S11)</f>
        <v>0</v>
      </c>
      <c r="U11" s="989"/>
      <c r="V11" s="989"/>
      <c r="W11" s="981"/>
      <c r="X11" s="988"/>
      <c r="Y11" s="982">
        <f>SUM(W11+X11)</f>
        <v>0</v>
      </c>
      <c r="Z11" s="990"/>
      <c r="AA11" s="990"/>
      <c r="AB11" s="981"/>
      <c r="AC11" s="988"/>
      <c r="AD11" s="982">
        <f>SUM(AB11:AC11)</f>
        <v>0</v>
      </c>
      <c r="AE11" s="990"/>
      <c r="AF11" s="990"/>
      <c r="AG11" s="981"/>
      <c r="AH11" s="988"/>
      <c r="AI11" s="981">
        <f>SUM(AG11+AH11)</f>
        <v>0</v>
      </c>
      <c r="AJ11" s="989"/>
      <c r="AK11" s="989"/>
      <c r="AL11" s="991"/>
      <c r="AM11" s="988"/>
      <c r="AN11" s="981">
        <f>SUM(AL11+AM11)</f>
        <v>0</v>
      </c>
      <c r="AO11" s="989"/>
      <c r="AP11" s="981"/>
      <c r="AQ11" s="981"/>
      <c r="AR11" s="981"/>
      <c r="AS11" s="989"/>
      <c r="AT11" s="981"/>
      <c r="AU11" s="988"/>
      <c r="AV11" s="981">
        <f>SUM(AT11+AU11)</f>
        <v>0</v>
      </c>
      <c r="AW11" s="989"/>
      <c r="AX11" s="989"/>
      <c r="AY11" s="981"/>
      <c r="AZ11" s="988"/>
      <c r="BA11" s="981">
        <f>SUM(AY11+AZ11)</f>
        <v>0</v>
      </c>
      <c r="BB11" s="989"/>
      <c r="BC11" s="989"/>
      <c r="BD11" s="981"/>
      <c r="BE11" s="988"/>
      <c r="BF11" s="981">
        <f>SUM(BD11+BE11)</f>
        <v>0</v>
      </c>
      <c r="BG11" s="989"/>
      <c r="BH11" s="989"/>
      <c r="BI11" s="981"/>
      <c r="BJ11" s="988"/>
      <c r="BK11" s="981">
        <f>SUM(BI11+BJ11)</f>
        <v>0</v>
      </c>
      <c r="BL11" s="989"/>
      <c r="BM11" s="989"/>
      <c r="BN11" s="981"/>
      <c r="BO11" s="988"/>
      <c r="BP11" s="981">
        <f>SUM(BN11+BO11)</f>
        <v>0</v>
      </c>
      <c r="BQ11" s="989"/>
      <c r="BR11" s="989"/>
      <c r="BS11" s="981"/>
      <c r="BT11" s="988"/>
      <c r="BU11" s="981">
        <f>SUM(BS11+BT11)</f>
        <v>0</v>
      </c>
      <c r="BV11" s="989"/>
      <c r="BW11" s="993">
        <f t="shared" si="0"/>
        <v>0</v>
      </c>
      <c r="BX11" s="993">
        <f t="shared" si="0"/>
        <v>0</v>
      </c>
      <c r="BY11" s="994">
        <f t="shared" si="0"/>
        <v>0</v>
      </c>
      <c r="BZ11" s="998">
        <f>SUM(BX11+BY11)</f>
        <v>0</v>
      </c>
      <c r="CA11" s="999"/>
      <c r="CB11" s="1000"/>
      <c r="CC11" s="1000"/>
      <c r="CD11" s="1000"/>
      <c r="CE11" s="1000"/>
      <c r="CF11" s="1000"/>
      <c r="CG11" s="1000"/>
      <c r="CH11" s="1000"/>
      <c r="CI11" s="1000"/>
      <c r="CJ11" s="1000"/>
      <c r="CK11" s="1000"/>
      <c r="CL11" s="1000"/>
      <c r="CM11" s="1000"/>
      <c r="CN11" s="1000"/>
    </row>
    <row r="12" spans="1:92" s="1001" customFormat="1" ht="15" customHeight="1">
      <c r="A12" s="881" t="s">
        <v>698</v>
      </c>
      <c r="B12" s="987"/>
      <c r="C12" s="987"/>
      <c r="D12" s="988"/>
      <c r="E12" s="981"/>
      <c r="F12" s="989"/>
      <c r="G12" s="989"/>
      <c r="H12" s="981"/>
      <c r="I12" s="988"/>
      <c r="J12" s="981"/>
      <c r="K12" s="989"/>
      <c r="L12" s="989"/>
      <c r="M12" s="981"/>
      <c r="N12" s="988"/>
      <c r="O12" s="981"/>
      <c r="P12" s="989"/>
      <c r="Q12" s="989"/>
      <c r="R12" s="989"/>
      <c r="S12" s="988"/>
      <c r="T12" s="981"/>
      <c r="U12" s="989"/>
      <c r="V12" s="989"/>
      <c r="W12" s="981"/>
      <c r="X12" s="988"/>
      <c r="Y12" s="982"/>
      <c r="Z12" s="990"/>
      <c r="AA12" s="990"/>
      <c r="AB12" s="981"/>
      <c r="AC12" s="988"/>
      <c r="AD12" s="982"/>
      <c r="AE12" s="990"/>
      <c r="AF12" s="990"/>
      <c r="AG12" s="981"/>
      <c r="AH12" s="988"/>
      <c r="AI12" s="981"/>
      <c r="AJ12" s="989"/>
      <c r="AK12" s="989"/>
      <c r="AL12" s="991"/>
      <c r="AM12" s="988"/>
      <c r="AN12" s="981"/>
      <c r="AO12" s="989"/>
      <c r="AP12" s="981"/>
      <c r="AQ12" s="981"/>
      <c r="AR12" s="981"/>
      <c r="AS12" s="989"/>
      <c r="AT12" s="981"/>
      <c r="AU12" s="988"/>
      <c r="AV12" s="981"/>
      <c r="AW12" s="989"/>
      <c r="AX12" s="989"/>
      <c r="AY12" s="981"/>
      <c r="AZ12" s="988"/>
      <c r="BA12" s="981"/>
      <c r="BB12" s="989"/>
      <c r="BC12" s="989"/>
      <c r="BD12" s="981"/>
      <c r="BE12" s="988"/>
      <c r="BF12" s="981"/>
      <c r="BG12" s="989"/>
      <c r="BH12" s="989"/>
      <c r="BI12" s="981"/>
      <c r="BJ12" s="988"/>
      <c r="BK12" s="981"/>
      <c r="BL12" s="989"/>
      <c r="BM12" s="989"/>
      <c r="BN12" s="981"/>
      <c r="BO12" s="988"/>
      <c r="BP12" s="981"/>
      <c r="BQ12" s="989"/>
      <c r="BR12" s="989"/>
      <c r="BS12" s="981"/>
      <c r="BT12" s="988"/>
      <c r="BU12" s="981"/>
      <c r="BV12" s="989"/>
      <c r="BW12" s="993"/>
      <c r="BX12" s="993"/>
      <c r="BY12" s="994"/>
      <c r="BZ12" s="998"/>
      <c r="CA12" s="999"/>
      <c r="CB12" s="1000"/>
      <c r="CC12" s="1000"/>
      <c r="CD12" s="1000"/>
      <c r="CE12" s="1000"/>
      <c r="CF12" s="1000"/>
      <c r="CG12" s="1000"/>
      <c r="CH12" s="1000"/>
      <c r="CI12" s="1000"/>
      <c r="CJ12" s="1000"/>
      <c r="CK12" s="1000"/>
      <c r="CL12" s="1000"/>
      <c r="CM12" s="1000"/>
      <c r="CN12" s="1000"/>
    </row>
    <row r="13" spans="1:92" s="1001" customFormat="1" ht="15" hidden="1" customHeight="1">
      <c r="A13" s="987"/>
      <c r="B13" s="987"/>
      <c r="C13" s="987"/>
      <c r="D13" s="988"/>
      <c r="E13" s="981">
        <f>SUM(C13+D13)</f>
        <v>0</v>
      </c>
      <c r="F13" s="989"/>
      <c r="G13" s="989"/>
      <c r="H13" s="981"/>
      <c r="I13" s="988"/>
      <c r="J13" s="981">
        <f>SUM(H13+I13)</f>
        <v>0</v>
      </c>
      <c r="K13" s="989"/>
      <c r="L13" s="989"/>
      <c r="M13" s="981"/>
      <c r="N13" s="988"/>
      <c r="O13" s="981">
        <f>SUM(M13+N13)</f>
        <v>0</v>
      </c>
      <c r="P13" s="989"/>
      <c r="Q13" s="989"/>
      <c r="R13" s="989"/>
      <c r="S13" s="988"/>
      <c r="T13" s="981">
        <f>SUM(R13+S13)</f>
        <v>0</v>
      </c>
      <c r="U13" s="989"/>
      <c r="V13" s="989"/>
      <c r="W13" s="981"/>
      <c r="X13" s="988"/>
      <c r="Y13" s="982">
        <f>SUM(W13+X13)</f>
        <v>0</v>
      </c>
      <c r="Z13" s="990"/>
      <c r="AA13" s="990"/>
      <c r="AB13" s="981"/>
      <c r="AC13" s="988"/>
      <c r="AD13" s="982">
        <f>SUM(AB13:AC13)</f>
        <v>0</v>
      </c>
      <c r="AE13" s="990"/>
      <c r="AF13" s="990"/>
      <c r="AG13" s="981"/>
      <c r="AH13" s="988"/>
      <c r="AI13" s="981">
        <f>SUM(AG13+AH13)</f>
        <v>0</v>
      </c>
      <c r="AJ13" s="989"/>
      <c r="AK13" s="989"/>
      <c r="AL13" s="991"/>
      <c r="AM13" s="988"/>
      <c r="AN13" s="981">
        <f>SUM(AL13+AM13)</f>
        <v>0</v>
      </c>
      <c r="AO13" s="989"/>
      <c r="AP13" s="981"/>
      <c r="AQ13" s="981"/>
      <c r="AR13" s="981"/>
      <c r="AS13" s="989"/>
      <c r="AT13" s="981"/>
      <c r="AU13" s="988"/>
      <c r="AV13" s="981">
        <f>SUM(AT13+AU13)</f>
        <v>0</v>
      </c>
      <c r="AW13" s="989"/>
      <c r="AX13" s="989"/>
      <c r="AY13" s="981"/>
      <c r="AZ13" s="988"/>
      <c r="BA13" s="981">
        <f>SUM(AY13+AZ13)</f>
        <v>0</v>
      </c>
      <c r="BB13" s="989"/>
      <c r="BC13" s="989"/>
      <c r="BD13" s="981"/>
      <c r="BE13" s="988"/>
      <c r="BF13" s="981">
        <f>SUM(BD13+BE13)</f>
        <v>0</v>
      </c>
      <c r="BG13" s="989"/>
      <c r="BH13" s="989"/>
      <c r="BI13" s="981"/>
      <c r="BJ13" s="988"/>
      <c r="BK13" s="981">
        <f>SUM(BI13+BJ13)</f>
        <v>0</v>
      </c>
      <c r="BL13" s="989"/>
      <c r="BM13" s="989"/>
      <c r="BN13" s="981"/>
      <c r="BO13" s="988"/>
      <c r="BP13" s="981">
        <f>SUM(BN13+BO13)</f>
        <v>0</v>
      </c>
      <c r="BQ13" s="989"/>
      <c r="BR13" s="989"/>
      <c r="BS13" s="981"/>
      <c r="BT13" s="988"/>
      <c r="BU13" s="981">
        <f>SUM(BS13+BT13)</f>
        <v>0</v>
      </c>
      <c r="BV13" s="989"/>
      <c r="BW13" s="993">
        <f>SUM(G13+L13+Q13+V13+AA13+AF13+AK13+AS13+AX13+BC13+BH13+BM13+BR13)</f>
        <v>0</v>
      </c>
      <c r="BX13" s="993">
        <f>SUM(H13+M13+R13+W13+AB13+AG13+AL13+AT13+AY13+BD13+BI13+BN13+BS13)</f>
        <v>0</v>
      </c>
      <c r="BY13" s="994">
        <f>SUM(I13+N13+S13+X13+AC13+AH13+AM13+AU13+AZ13+BE13+BJ13+BO13+BT13)</f>
        <v>0</v>
      </c>
      <c r="BZ13" s="998">
        <f>SUM(BX13+BY13)</f>
        <v>0</v>
      </c>
      <c r="CA13" s="999"/>
      <c r="CB13" s="1000"/>
      <c r="CC13" s="1000"/>
      <c r="CD13" s="1000"/>
      <c r="CE13" s="1000"/>
      <c r="CF13" s="1000"/>
      <c r="CG13" s="1000"/>
      <c r="CH13" s="1000"/>
      <c r="CI13" s="1000"/>
      <c r="CJ13" s="1000"/>
      <c r="CK13" s="1000"/>
      <c r="CL13" s="1000"/>
      <c r="CM13" s="1000"/>
      <c r="CN13" s="1000"/>
    </row>
    <row r="14" spans="1:92" s="1004" customFormat="1" ht="15" hidden="1" customHeight="1">
      <c r="A14" s="980" t="s">
        <v>699</v>
      </c>
      <c r="B14" s="980"/>
      <c r="C14" s="980"/>
      <c r="D14" s="981"/>
      <c r="E14" s="981"/>
      <c r="F14" s="981"/>
      <c r="G14" s="981"/>
      <c r="H14" s="981"/>
      <c r="I14" s="981"/>
      <c r="J14" s="981"/>
      <c r="K14" s="981"/>
      <c r="L14" s="981"/>
      <c r="M14" s="981"/>
      <c r="N14" s="981"/>
      <c r="O14" s="981"/>
      <c r="P14" s="981"/>
      <c r="Q14" s="981"/>
      <c r="R14" s="981"/>
      <c r="S14" s="981"/>
      <c r="T14" s="981"/>
      <c r="U14" s="981"/>
      <c r="V14" s="981"/>
      <c r="W14" s="981"/>
      <c r="X14" s="981"/>
      <c r="Y14" s="981"/>
      <c r="Z14" s="981"/>
      <c r="AA14" s="981"/>
      <c r="AB14" s="981"/>
      <c r="AC14" s="981"/>
      <c r="AD14" s="981"/>
      <c r="AE14" s="981"/>
      <c r="AF14" s="981"/>
      <c r="AG14" s="981"/>
      <c r="AH14" s="981"/>
      <c r="AI14" s="981"/>
      <c r="AJ14" s="981"/>
      <c r="AK14" s="981"/>
      <c r="AL14" s="983"/>
      <c r="AM14" s="981"/>
      <c r="AN14" s="981"/>
      <c r="AO14" s="981"/>
      <c r="AP14" s="981"/>
      <c r="AQ14" s="981"/>
      <c r="AR14" s="981"/>
      <c r="AS14" s="981"/>
      <c r="AT14" s="981"/>
      <c r="AU14" s="981"/>
      <c r="AV14" s="981"/>
      <c r="AW14" s="981"/>
      <c r="AX14" s="981"/>
      <c r="AY14" s="981"/>
      <c r="AZ14" s="981"/>
      <c r="BA14" s="981"/>
      <c r="BB14" s="981"/>
      <c r="BC14" s="981"/>
      <c r="BD14" s="981"/>
      <c r="BE14" s="981"/>
      <c r="BF14" s="981"/>
      <c r="BG14" s="981"/>
      <c r="BH14" s="981"/>
      <c r="BI14" s="981"/>
      <c r="BJ14" s="981"/>
      <c r="BK14" s="981"/>
      <c r="BL14" s="981"/>
      <c r="BM14" s="981"/>
      <c r="BN14" s="981"/>
      <c r="BO14" s="981"/>
      <c r="BP14" s="981"/>
      <c r="BQ14" s="981"/>
      <c r="BR14" s="981"/>
      <c r="BS14" s="981"/>
      <c r="BT14" s="981"/>
      <c r="BU14" s="981"/>
      <c r="BV14" s="981"/>
      <c r="BW14" s="984"/>
      <c r="BX14" s="984"/>
      <c r="BY14" s="984"/>
      <c r="BZ14" s="1002"/>
      <c r="CA14" s="1003"/>
      <c r="CB14" s="1000"/>
      <c r="CC14" s="1000"/>
      <c r="CD14" s="1000"/>
      <c r="CE14" s="1000"/>
      <c r="CF14" s="1000"/>
      <c r="CG14" s="1000"/>
      <c r="CH14" s="1000"/>
      <c r="CI14" s="1000"/>
      <c r="CJ14" s="1000"/>
      <c r="CK14" s="1000"/>
      <c r="CL14" s="1000"/>
      <c r="CM14" s="1000"/>
      <c r="CN14" s="1000"/>
    </row>
    <row r="15" spans="1:92" s="1004" customFormat="1" ht="15" hidden="1" customHeight="1">
      <c r="A15" s="881" t="s">
        <v>699</v>
      </c>
      <c r="B15" s="980"/>
      <c r="C15" s="980"/>
      <c r="D15" s="981"/>
      <c r="E15" s="981"/>
      <c r="F15" s="981"/>
      <c r="G15" s="981"/>
      <c r="H15" s="981"/>
      <c r="I15" s="981"/>
      <c r="J15" s="981"/>
      <c r="K15" s="981"/>
      <c r="L15" s="981"/>
      <c r="M15" s="981"/>
      <c r="N15" s="981"/>
      <c r="O15" s="981"/>
      <c r="P15" s="981"/>
      <c r="Q15" s="981"/>
      <c r="R15" s="981"/>
      <c r="S15" s="981"/>
      <c r="T15" s="981"/>
      <c r="U15" s="981"/>
      <c r="V15" s="981"/>
      <c r="W15" s="981"/>
      <c r="X15" s="981"/>
      <c r="Y15" s="981"/>
      <c r="Z15" s="981"/>
      <c r="AA15" s="981"/>
      <c r="AB15" s="981"/>
      <c r="AC15" s="981"/>
      <c r="AD15" s="981"/>
      <c r="AE15" s="981"/>
      <c r="AF15" s="981"/>
      <c r="AG15" s="981"/>
      <c r="AH15" s="981"/>
      <c r="AI15" s="981"/>
      <c r="AJ15" s="981"/>
      <c r="AK15" s="981"/>
      <c r="AL15" s="983"/>
      <c r="AM15" s="981"/>
      <c r="AN15" s="981"/>
      <c r="AO15" s="981"/>
      <c r="AP15" s="981"/>
      <c r="AQ15" s="981"/>
      <c r="AR15" s="981"/>
      <c r="AS15" s="981"/>
      <c r="AT15" s="981"/>
      <c r="AU15" s="981"/>
      <c r="AV15" s="981"/>
      <c r="AW15" s="981"/>
      <c r="AX15" s="981"/>
      <c r="AY15" s="981"/>
      <c r="AZ15" s="981"/>
      <c r="BA15" s="981"/>
      <c r="BB15" s="981"/>
      <c r="BC15" s="981"/>
      <c r="BD15" s="981"/>
      <c r="BE15" s="981"/>
      <c r="BF15" s="981"/>
      <c r="BG15" s="981"/>
      <c r="BH15" s="981"/>
      <c r="BI15" s="981"/>
      <c r="BJ15" s="981"/>
      <c r="BK15" s="981"/>
      <c r="BL15" s="981"/>
      <c r="BM15" s="981"/>
      <c r="BN15" s="981"/>
      <c r="BO15" s="981"/>
      <c r="BP15" s="981"/>
      <c r="BQ15" s="981"/>
      <c r="BR15" s="981"/>
      <c r="BS15" s="981"/>
      <c r="BT15" s="981"/>
      <c r="BU15" s="981"/>
      <c r="BV15" s="981"/>
      <c r="BW15" s="984"/>
      <c r="BX15" s="984"/>
      <c r="BY15" s="984"/>
      <c r="BZ15" s="1002"/>
      <c r="CA15" s="1003"/>
      <c r="CB15" s="1000"/>
      <c r="CC15" s="1000"/>
      <c r="CD15" s="1000"/>
      <c r="CE15" s="1000"/>
      <c r="CF15" s="1000"/>
      <c r="CG15" s="1000"/>
      <c r="CH15" s="1000"/>
      <c r="CI15" s="1000"/>
      <c r="CJ15" s="1000"/>
      <c r="CK15" s="1000"/>
      <c r="CL15" s="1000"/>
      <c r="CM15" s="1000"/>
      <c r="CN15" s="1000"/>
    </row>
    <row r="16" spans="1:92" ht="15" customHeight="1">
      <c r="A16" s="498"/>
      <c r="B16" s="498"/>
      <c r="C16" s="498"/>
      <c r="D16" s="430"/>
      <c r="E16" s="1005"/>
      <c r="F16" s="1006"/>
      <c r="G16" s="1006"/>
      <c r="H16" s="430"/>
      <c r="I16" s="430"/>
      <c r="J16" s="1005"/>
      <c r="K16" s="1006"/>
      <c r="L16" s="1006"/>
      <c r="M16" s="430"/>
      <c r="N16" s="430"/>
      <c r="O16" s="1005"/>
      <c r="P16" s="1006"/>
      <c r="Q16" s="1006"/>
      <c r="R16" s="430"/>
      <c r="S16" s="430"/>
      <c r="T16" s="1005"/>
      <c r="U16" s="1006"/>
      <c r="V16" s="1006"/>
      <c r="W16" s="430"/>
      <c r="X16" s="430"/>
      <c r="Y16" s="1005"/>
      <c r="Z16" s="1006"/>
      <c r="AA16" s="1006"/>
      <c r="AB16" s="430"/>
      <c r="AC16" s="430"/>
      <c r="AD16" s="1005"/>
      <c r="AE16" s="1006"/>
      <c r="AF16" s="1006"/>
      <c r="AG16" s="430"/>
      <c r="AH16" s="430"/>
      <c r="AI16" s="1005"/>
      <c r="AJ16" s="1006"/>
      <c r="AK16" s="1006"/>
      <c r="AL16" s="433"/>
      <c r="AM16" s="433"/>
      <c r="AN16" s="455"/>
      <c r="AO16" s="433"/>
      <c r="AP16" s="455"/>
      <c r="AQ16" s="455"/>
      <c r="AR16" s="455"/>
      <c r="AS16" s="433"/>
      <c r="AT16" s="430"/>
      <c r="AU16" s="430"/>
      <c r="AV16" s="1005"/>
      <c r="AW16" s="1006"/>
      <c r="AX16" s="1006"/>
      <c r="AY16" s="430"/>
      <c r="AZ16" s="430"/>
      <c r="BA16" s="1005"/>
      <c r="BB16" s="1006"/>
      <c r="BC16" s="1006"/>
      <c r="BD16" s="430"/>
      <c r="BE16" s="430"/>
      <c r="BF16" s="1005"/>
      <c r="BG16" s="1006"/>
      <c r="BH16" s="1006"/>
      <c r="BI16" s="430"/>
      <c r="BJ16" s="430"/>
      <c r="BK16" s="1005"/>
      <c r="BL16" s="1006"/>
      <c r="BM16" s="1006"/>
      <c r="BN16" s="430"/>
      <c r="BO16" s="430"/>
      <c r="BP16" s="1005"/>
      <c r="BQ16" s="1006"/>
      <c r="BR16" s="1006"/>
      <c r="BS16" s="430"/>
      <c r="BT16" s="430"/>
      <c r="BU16" s="1005"/>
      <c r="BV16" s="1006"/>
      <c r="BW16" s="1007"/>
      <c r="BX16" s="1007"/>
      <c r="BY16" s="1007"/>
      <c r="BZ16" s="1008"/>
    </row>
    <row r="17" spans="1:79" s="630" customFormat="1" ht="15" customHeight="1">
      <c r="A17" s="832" t="s">
        <v>700</v>
      </c>
      <c r="B17" s="405"/>
      <c r="C17" s="321"/>
      <c r="D17" s="1009"/>
      <c r="E17" s="1010">
        <f>SUM(C17+D17)</f>
        <v>0</v>
      </c>
      <c r="F17" s="1010"/>
      <c r="G17" s="1010"/>
      <c r="H17" s="1011"/>
      <c r="I17" s="1009"/>
      <c r="J17" s="1010">
        <f>SUM(H17+I17)</f>
        <v>0</v>
      </c>
      <c r="K17" s="1010"/>
      <c r="L17" s="1010"/>
      <c r="M17" s="1011"/>
      <c r="N17" s="1009"/>
      <c r="O17" s="1010">
        <f>SUM(M17+N17)</f>
        <v>0</v>
      </c>
      <c r="P17" s="1010"/>
      <c r="Q17" s="1010"/>
      <c r="R17" s="1011"/>
      <c r="S17" s="1009"/>
      <c r="T17" s="1010">
        <f>SUM(R17+S17)</f>
        <v>0</v>
      </c>
      <c r="U17" s="1010"/>
      <c r="V17" s="1010"/>
      <c r="W17" s="1011"/>
      <c r="X17" s="1009"/>
      <c r="Y17" s="1010">
        <f>SUM(W17+X17)</f>
        <v>0</v>
      </c>
      <c r="Z17" s="1010"/>
      <c r="AA17" s="1010"/>
      <c r="AB17" s="1011"/>
      <c r="AC17" s="1009"/>
      <c r="AD17" s="1010">
        <f>SUM(AB17+AC17)</f>
        <v>0</v>
      </c>
      <c r="AE17" s="1010"/>
      <c r="AF17" s="1010"/>
      <c r="AG17" s="1011"/>
      <c r="AH17" s="1009"/>
      <c r="AI17" s="1010">
        <f>SUM(AG17+AH17)</f>
        <v>0</v>
      </c>
      <c r="AJ17" s="1010"/>
      <c r="AK17" s="1010"/>
      <c r="AL17" s="432"/>
      <c r="AM17" s="1012"/>
      <c r="AN17" s="1010">
        <f>SUM(AL17+AM17)</f>
        <v>0</v>
      </c>
      <c r="AO17" s="1010"/>
      <c r="AP17" s="1010"/>
      <c r="AQ17" s="1010"/>
      <c r="AR17" s="1010"/>
      <c r="AS17" s="1010"/>
      <c r="AT17" s="1011"/>
      <c r="AU17" s="1009"/>
      <c r="AV17" s="1010">
        <f>SUM(AT17+AU17)</f>
        <v>0</v>
      </c>
      <c r="AW17" s="1010"/>
      <c r="AX17" s="1010"/>
      <c r="AY17" s="1011"/>
      <c r="AZ17" s="1009"/>
      <c r="BA17" s="1010">
        <f>SUM(AY17+AZ17)</f>
        <v>0</v>
      </c>
      <c r="BB17" s="1010"/>
      <c r="BC17" s="1010"/>
      <c r="BD17" s="1011"/>
      <c r="BE17" s="1009"/>
      <c r="BF17" s="1010">
        <f>SUM(BD17+BE17)</f>
        <v>0</v>
      </c>
      <c r="BG17" s="1010"/>
      <c r="BH17" s="1010"/>
      <c r="BI17" s="1011"/>
      <c r="BJ17" s="1009"/>
      <c r="BK17" s="1010">
        <f>SUM(BI17+BJ17)</f>
        <v>0</v>
      </c>
      <c r="BL17" s="1010"/>
      <c r="BM17" s="1010"/>
      <c r="BN17" s="1011"/>
      <c r="BO17" s="1009"/>
      <c r="BP17" s="1010">
        <f>SUM(BN17+BO17)</f>
        <v>0</v>
      </c>
      <c r="BQ17" s="1010"/>
      <c r="BR17" s="1010"/>
      <c r="BS17" s="1011"/>
      <c r="BT17" s="1009"/>
      <c r="BU17" s="1010">
        <f>SUM(BS17+BT17)</f>
        <v>0</v>
      </c>
      <c r="BV17" s="1010"/>
      <c r="BW17" s="1013">
        <f>SUM(B17+G17+L17+Q17+V17+AA17+AF17+AK17+AS17+AX17+BC17+BH17+BM17+BR17)</f>
        <v>0</v>
      </c>
      <c r="BX17" s="1013">
        <f>SUM(C17+H17+M17+R17+W17+AB17+AG17+AL17+AT17+AY17+BD17+BI17+BN17+BS17)</f>
        <v>0</v>
      </c>
      <c r="BY17" s="1014">
        <f>SUM(I17+N17+S17+X17+AC17+AH17+AM17+AU17+AZ17+BE17+BJ17+BO17+BT17+D17)</f>
        <v>0</v>
      </c>
      <c r="BZ17" s="1013">
        <f>SUM(BX17+BY17)</f>
        <v>0</v>
      </c>
      <c r="CA17" s="961"/>
    </row>
    <row r="18" spans="1:79" s="630" customFormat="1" ht="15" hidden="1" customHeight="1">
      <c r="A18" s="405" t="s">
        <v>11</v>
      </c>
      <c r="B18" s="405"/>
      <c r="C18" s="321"/>
      <c r="D18" s="1009"/>
      <c r="E18" s="1010">
        <f>SUM(C18+D18)</f>
        <v>0</v>
      </c>
      <c r="F18" s="1010"/>
      <c r="G18" s="1010"/>
      <c r="H18" s="1011"/>
      <c r="I18" s="1009"/>
      <c r="J18" s="1010">
        <f>SUM(H18+I18)</f>
        <v>0</v>
      </c>
      <c r="K18" s="1010"/>
      <c r="L18" s="1010"/>
      <c r="M18" s="1011"/>
      <c r="N18" s="1009"/>
      <c r="O18" s="1010">
        <f>SUM(M18+N18)</f>
        <v>0</v>
      </c>
      <c r="P18" s="1010"/>
      <c r="Q18" s="1010"/>
      <c r="R18" s="1011"/>
      <c r="S18" s="1009"/>
      <c r="T18" s="1010">
        <f>SUM(R18+S18)</f>
        <v>0</v>
      </c>
      <c r="U18" s="1010"/>
      <c r="V18" s="1010"/>
      <c r="W18" s="1011"/>
      <c r="X18" s="1009"/>
      <c r="Y18" s="1010">
        <f>SUM(W18+X18)</f>
        <v>0</v>
      </c>
      <c r="Z18" s="1010"/>
      <c r="AA18" s="1010"/>
      <c r="AB18" s="1011"/>
      <c r="AC18" s="1009"/>
      <c r="AD18" s="1010">
        <f>SUM(AB18+AC18)</f>
        <v>0</v>
      </c>
      <c r="AE18" s="1010"/>
      <c r="AF18" s="1010"/>
      <c r="AG18" s="1011"/>
      <c r="AH18" s="1009"/>
      <c r="AI18" s="1010">
        <f>SUM(AG18+AH18)</f>
        <v>0</v>
      </c>
      <c r="AJ18" s="1010"/>
      <c r="AK18" s="1010"/>
      <c r="AL18" s="432"/>
      <c r="AM18" s="1012"/>
      <c r="AN18" s="1010">
        <f>SUM(AL18+AM18)</f>
        <v>0</v>
      </c>
      <c r="AO18" s="1010"/>
      <c r="AP18" s="1010"/>
      <c r="AQ18" s="1010"/>
      <c r="AR18" s="1010"/>
      <c r="AS18" s="1010"/>
      <c r="AT18" s="1011"/>
      <c r="AU18" s="1009"/>
      <c r="AV18" s="1010">
        <f>SUM(AT18+AU18)</f>
        <v>0</v>
      </c>
      <c r="AW18" s="1010"/>
      <c r="AX18" s="1010"/>
      <c r="AY18" s="1011"/>
      <c r="AZ18" s="1009"/>
      <c r="BA18" s="1010">
        <f>SUM(AY18+AZ18)</f>
        <v>0</v>
      </c>
      <c r="BB18" s="1010"/>
      <c r="BC18" s="1010"/>
      <c r="BD18" s="1011"/>
      <c r="BE18" s="1009"/>
      <c r="BF18" s="1010">
        <f>SUM(BD18+BE18)</f>
        <v>0</v>
      </c>
      <c r="BG18" s="1010"/>
      <c r="BH18" s="1010"/>
      <c r="BI18" s="1011"/>
      <c r="BJ18" s="1009"/>
      <c r="BK18" s="1010">
        <f>SUM(BI18+BJ18)</f>
        <v>0</v>
      </c>
      <c r="BL18" s="1010"/>
      <c r="BM18" s="1010"/>
      <c r="BN18" s="1011"/>
      <c r="BO18" s="1009"/>
      <c r="BP18" s="1010">
        <f>SUM(BN18+BO18)</f>
        <v>0</v>
      </c>
      <c r="BQ18" s="1010"/>
      <c r="BR18" s="1010"/>
      <c r="BS18" s="1011"/>
      <c r="BT18" s="1009"/>
      <c r="BU18" s="1010">
        <f>SUM(BS18+BT18)</f>
        <v>0</v>
      </c>
      <c r="BV18" s="1010"/>
      <c r="BW18" s="1013">
        <f>SUM(B18+G18+L18+Q18+V18+AA18+AF18+AK18+AS18+AX18+BC18+BH18+BM18+BR18)</f>
        <v>0</v>
      </c>
      <c r="BX18" s="1013">
        <f>SUM(C18+H18+M18+R18+W18+AB18+AG18+AL18+AT18+AY18+BD18+BI18+BN18+BS18)</f>
        <v>0</v>
      </c>
      <c r="BY18" s="1014">
        <f>SUM(I18+N18+S18+X18+AC18+AH18+AM18+AU18+AZ18+BE18+BJ18+BO18+BT18+D18)</f>
        <v>0</v>
      </c>
      <c r="BZ18" s="1013">
        <f>SUM(BX18+BY18)</f>
        <v>0</v>
      </c>
      <c r="CA18" s="1015"/>
    </row>
    <row r="19" spans="1:79" s="633" customFormat="1" ht="15" customHeight="1">
      <c r="A19" s="321" t="s">
        <v>701</v>
      </c>
      <c r="B19" s="321"/>
      <c r="C19" s="321"/>
      <c r="D19" s="1009">
        <v>6500000</v>
      </c>
      <c r="E19" s="1010">
        <v>13274438</v>
      </c>
      <c r="F19" s="1010">
        <v>13274438</v>
      </c>
      <c r="G19" s="1010"/>
      <c r="H19" s="1011"/>
      <c r="I19" s="1009">
        <v>9000000</v>
      </c>
      <c r="J19" s="1010">
        <v>18166263</v>
      </c>
      <c r="K19" s="1010">
        <v>18166263</v>
      </c>
      <c r="L19" s="1010"/>
      <c r="M19" s="1011"/>
      <c r="N19" s="1009">
        <v>14200000</v>
      </c>
      <c r="O19" s="1010">
        <v>28265296</v>
      </c>
      <c r="P19" s="1010">
        <v>28265296</v>
      </c>
      <c r="Q19" s="1010"/>
      <c r="R19" s="1011"/>
      <c r="S19" s="1009">
        <v>6000000</v>
      </c>
      <c r="T19" s="1010">
        <v>11990806</v>
      </c>
      <c r="U19" s="1010">
        <v>11990806</v>
      </c>
      <c r="V19" s="1010"/>
      <c r="W19" s="1011"/>
      <c r="X19" s="1009">
        <v>9000000</v>
      </c>
      <c r="Y19" s="1010">
        <v>18387877</v>
      </c>
      <c r="Z19" s="1010">
        <v>18387877</v>
      </c>
      <c r="AA19" s="1010"/>
      <c r="AB19" s="1011"/>
      <c r="AC19" s="1009">
        <v>5400000</v>
      </c>
      <c r="AD19" s="1010">
        <v>9640298</v>
      </c>
      <c r="AE19" s="1010">
        <v>9640298</v>
      </c>
      <c r="AF19" s="1010"/>
      <c r="AG19" s="1011"/>
      <c r="AH19" s="1009">
        <v>7200000</v>
      </c>
      <c r="AI19" s="1010">
        <v>14333939</v>
      </c>
      <c r="AJ19" s="1010">
        <v>14333939</v>
      </c>
      <c r="AK19" s="1010"/>
      <c r="AL19" s="432"/>
      <c r="AM19" s="1012"/>
      <c r="AN19" s="1010">
        <f>SUM(AL19+AM19)</f>
        <v>0</v>
      </c>
      <c r="AO19" s="1010"/>
      <c r="AP19" s="1010"/>
      <c r="AQ19" s="1010">
        <v>5750742</v>
      </c>
      <c r="AR19" s="1010">
        <v>5750742</v>
      </c>
      <c r="AS19" s="1010"/>
      <c r="AT19" s="1011"/>
      <c r="AU19" s="1009">
        <v>10700000</v>
      </c>
      <c r="AV19" s="1010">
        <v>21868367</v>
      </c>
      <c r="AW19" s="1010">
        <v>21868367</v>
      </c>
      <c r="AX19" s="1010"/>
      <c r="AY19" s="1011"/>
      <c r="AZ19" s="1009">
        <v>14000000</v>
      </c>
      <c r="BA19" s="1010">
        <v>27988106</v>
      </c>
      <c r="BB19" s="1010">
        <v>27988106</v>
      </c>
      <c r="BC19" s="1010"/>
      <c r="BD19" s="1011"/>
      <c r="BE19" s="1009">
        <v>7500000</v>
      </c>
      <c r="BF19" s="1010">
        <v>15832592</v>
      </c>
      <c r="BG19" s="1010">
        <v>15832592</v>
      </c>
      <c r="BH19" s="1010"/>
      <c r="BI19" s="1011"/>
      <c r="BJ19" s="1009">
        <v>900000</v>
      </c>
      <c r="BK19" s="1010">
        <v>1704811</v>
      </c>
      <c r="BL19" s="1010">
        <v>1706398</v>
      </c>
      <c r="BM19" s="1010"/>
      <c r="BN19" s="1011"/>
      <c r="BO19" s="1009">
        <v>16300000</v>
      </c>
      <c r="BP19" s="1010">
        <v>33077892</v>
      </c>
      <c r="BQ19" s="1010">
        <v>33077892</v>
      </c>
      <c r="BR19" s="1010"/>
      <c r="BS19" s="1011"/>
      <c r="BT19" s="1009">
        <v>7000000</v>
      </c>
      <c r="BU19" s="1010">
        <v>10058526</v>
      </c>
      <c r="BV19" s="1010">
        <v>10058526</v>
      </c>
      <c r="BW19" s="1013">
        <f t="shared" ref="BW19:BW34" si="1">SUM(B19+G19+L19+Q19+V19+AA19+AF19+AK19+AS19+AX19+BC19+BH19+BM19+BR19+AP19)</f>
        <v>0</v>
      </c>
      <c r="BX19" s="1013">
        <f>SUM(C19+H19+M19+R19+W19+AB19+AG19+AL19+AT19+AY19+BD19+BI19+BN19+BS19)</f>
        <v>0</v>
      </c>
      <c r="BY19" s="1014">
        <f>SUM(I19+N19+S19+X19+AC19+AH19+AM19+AU19+AZ19+BE19+BJ19+BO19+BT19+D19)</f>
        <v>113700000</v>
      </c>
      <c r="BZ19" s="1015">
        <f t="shared" ref="BZ19:BZ34" si="2">SUM(E19+J19+O19+T19+Y19+AD19+AI19+AN19+AV19+BA19+BF19+BK19+BP19+BU19+AQ19)</f>
        <v>230339953</v>
      </c>
      <c r="CA19" s="1015">
        <f t="shared" ref="CA19:CA34" si="3">SUM(F19+K19+P19+U19+Z19+AE19+AJ19+AO19+AW19+BB19+BG19+BL19+BQ19+BV19+AR19)</f>
        <v>230341540</v>
      </c>
    </row>
    <row r="20" spans="1:79" s="633" customFormat="1" ht="15" customHeight="1">
      <c r="A20" s="432" t="s">
        <v>702</v>
      </c>
      <c r="B20" s="432"/>
      <c r="C20" s="432"/>
      <c r="D20" s="1009"/>
      <c r="E20" s="1010">
        <f>SUM(C20+D20)</f>
        <v>0</v>
      </c>
      <c r="F20" s="1010"/>
      <c r="G20" s="1010"/>
      <c r="H20" s="1011"/>
      <c r="I20" s="1009"/>
      <c r="J20" s="1010">
        <f>SUM(H20+I20)</f>
        <v>0</v>
      </c>
      <c r="K20" s="1010"/>
      <c r="L20" s="1010"/>
      <c r="M20" s="1011"/>
      <c r="N20" s="1009">
        <v>35806</v>
      </c>
      <c r="O20" s="1010">
        <f>SUM(M20+N20)</f>
        <v>35806</v>
      </c>
      <c r="P20" s="1010">
        <v>35806</v>
      </c>
      <c r="Q20" s="1010"/>
      <c r="R20" s="1011"/>
      <c r="S20" s="1009"/>
      <c r="T20" s="1010">
        <f>SUM(R20+S20)</f>
        <v>0</v>
      </c>
      <c r="U20" s="1010"/>
      <c r="V20" s="1010"/>
      <c r="W20" s="1011"/>
      <c r="X20" s="1009"/>
      <c r="Y20" s="1010">
        <f>SUM(W20+X20)</f>
        <v>0</v>
      </c>
      <c r="Z20" s="1010"/>
      <c r="AA20" s="1010"/>
      <c r="AB20" s="1011"/>
      <c r="AC20" s="1009"/>
      <c r="AD20" s="1010">
        <f>SUM(AB20+AC20)</f>
        <v>0</v>
      </c>
      <c r="AE20" s="1010"/>
      <c r="AF20" s="1010"/>
      <c r="AG20" s="1011"/>
      <c r="AH20" s="1009"/>
      <c r="AI20" s="1010">
        <f>SUM(AG20+AH20)</f>
        <v>0</v>
      </c>
      <c r="AJ20" s="1010"/>
      <c r="AK20" s="1010"/>
      <c r="AL20" s="432"/>
      <c r="AM20" s="1012"/>
      <c r="AN20" s="1010">
        <f>SUM(AL20+AM20)</f>
        <v>0</v>
      </c>
      <c r="AO20" s="1010"/>
      <c r="AP20" s="1010"/>
      <c r="AQ20" s="1010">
        <v>582750</v>
      </c>
      <c r="AR20" s="1010">
        <v>582750</v>
      </c>
      <c r="AS20" s="1010"/>
      <c r="AT20" s="1011"/>
      <c r="AU20" s="1009"/>
      <c r="AV20" s="1010">
        <f>SUM(AT20+AU20)</f>
        <v>0</v>
      </c>
      <c r="AW20" s="1010"/>
      <c r="AX20" s="1010"/>
      <c r="AY20" s="1011"/>
      <c r="AZ20" s="1009"/>
      <c r="BA20" s="1010">
        <f>SUM(AY20+AZ20)</f>
        <v>0</v>
      </c>
      <c r="BB20" s="1010"/>
      <c r="BC20" s="1010"/>
      <c r="BD20" s="1011"/>
      <c r="BE20" s="1009"/>
      <c r="BF20" s="1010">
        <f>SUM(BD20+BE20)</f>
        <v>0</v>
      </c>
      <c r="BG20" s="1010"/>
      <c r="BH20" s="1010"/>
      <c r="BI20" s="1011"/>
      <c r="BJ20" s="1009"/>
      <c r="BK20" s="1010">
        <f>SUM(BI20+BJ20)</f>
        <v>0</v>
      </c>
      <c r="BL20" s="1010"/>
      <c r="BM20" s="1010"/>
      <c r="BN20" s="1011"/>
      <c r="BO20" s="1009"/>
      <c r="BP20" s="1010">
        <f>SUM(BN20+BO20)</f>
        <v>0</v>
      </c>
      <c r="BQ20" s="1010"/>
      <c r="BR20" s="1010"/>
      <c r="BS20" s="1011"/>
      <c r="BT20" s="1009">
        <v>210000</v>
      </c>
      <c r="BU20" s="1010">
        <v>349194</v>
      </c>
      <c r="BV20" s="1010">
        <v>349194</v>
      </c>
      <c r="BW20" s="1013">
        <f t="shared" si="1"/>
        <v>0</v>
      </c>
      <c r="BX20" s="1013">
        <f>SUM(C20+H20+M20+R20+W20+AB20+AG20+AL20+AT20+AY20+BD20+BI20+BN20+BS20)</f>
        <v>0</v>
      </c>
      <c r="BY20" s="1014">
        <f>SUM(I20+N20+S20+X20+AC20+AH20+AM20+AU20+AZ20+BE20+BJ20+BO20+BT20+D20)</f>
        <v>245806</v>
      </c>
      <c r="BZ20" s="1015">
        <f t="shared" si="2"/>
        <v>967750</v>
      </c>
      <c r="CA20" s="1015">
        <f t="shared" si="3"/>
        <v>967750</v>
      </c>
    </row>
    <row r="21" spans="1:79" s="633" customFormat="1" ht="15" customHeight="1">
      <c r="A21" s="404" t="s">
        <v>703</v>
      </c>
      <c r="B21" s="432">
        <v>70000</v>
      </c>
      <c r="C21" s="432">
        <v>70000</v>
      </c>
      <c r="D21" s="1009">
        <v>1900000</v>
      </c>
      <c r="E21" s="1010">
        <v>3549307</v>
      </c>
      <c r="F21" s="1010">
        <v>3549307</v>
      </c>
      <c r="G21" s="1010">
        <v>30000</v>
      </c>
      <c r="H21" s="1011">
        <v>30000</v>
      </c>
      <c r="I21" s="1009">
        <v>2600000</v>
      </c>
      <c r="J21" s="1010">
        <v>5050852</v>
      </c>
      <c r="K21" s="1010">
        <v>5050852</v>
      </c>
      <c r="L21" s="1010">
        <v>54000</v>
      </c>
      <c r="M21" s="1011">
        <v>54000</v>
      </c>
      <c r="N21" s="1009">
        <v>4300000</v>
      </c>
      <c r="O21" s="1010">
        <v>7963938</v>
      </c>
      <c r="P21" s="1010">
        <v>7968019</v>
      </c>
      <c r="Q21" s="1010">
        <v>29000</v>
      </c>
      <c r="R21" s="1011">
        <v>29000</v>
      </c>
      <c r="S21" s="1009">
        <v>1700000</v>
      </c>
      <c r="T21" s="1010">
        <v>3294576</v>
      </c>
      <c r="U21" s="1010">
        <v>3294576</v>
      </c>
      <c r="V21" s="1010">
        <v>30000</v>
      </c>
      <c r="W21" s="1011">
        <v>30000</v>
      </c>
      <c r="X21" s="1009">
        <v>2600000</v>
      </c>
      <c r="Y21" s="1010">
        <v>5050422</v>
      </c>
      <c r="Z21" s="1010">
        <v>5050422</v>
      </c>
      <c r="AA21" s="1010">
        <v>62000</v>
      </c>
      <c r="AB21" s="1011">
        <v>62000</v>
      </c>
      <c r="AC21" s="1009">
        <v>1700000</v>
      </c>
      <c r="AD21" s="1010">
        <v>2702100</v>
      </c>
      <c r="AE21" s="1010">
        <v>2702100</v>
      </c>
      <c r="AF21" s="1010">
        <v>42000</v>
      </c>
      <c r="AG21" s="1011">
        <v>42000</v>
      </c>
      <c r="AH21" s="1009">
        <v>2300000</v>
      </c>
      <c r="AI21" s="1010">
        <v>4044632</v>
      </c>
      <c r="AJ21" s="1010">
        <v>4044632</v>
      </c>
      <c r="AK21" s="1010">
        <v>16000</v>
      </c>
      <c r="AL21" s="432">
        <v>16000</v>
      </c>
      <c r="AM21" s="1012"/>
      <c r="AN21" s="1010">
        <v>0</v>
      </c>
      <c r="AO21" s="1010"/>
      <c r="AP21" s="1010"/>
      <c r="AQ21" s="1010">
        <v>1692525</v>
      </c>
      <c r="AR21" s="1010">
        <v>1692525</v>
      </c>
      <c r="AS21" s="1010">
        <v>45000</v>
      </c>
      <c r="AT21" s="1011">
        <v>45000</v>
      </c>
      <c r="AU21" s="1009">
        <v>3100000</v>
      </c>
      <c r="AV21" s="1010">
        <v>6065937</v>
      </c>
      <c r="AW21" s="1010">
        <v>6065937</v>
      </c>
      <c r="AX21" s="1010">
        <v>34000</v>
      </c>
      <c r="AY21" s="1011">
        <v>34000</v>
      </c>
      <c r="AZ21" s="1009">
        <v>4200000</v>
      </c>
      <c r="BA21" s="1010">
        <v>7996504</v>
      </c>
      <c r="BB21" s="1010">
        <v>7996504</v>
      </c>
      <c r="BC21" s="1010">
        <v>28000</v>
      </c>
      <c r="BD21" s="1011">
        <v>28000</v>
      </c>
      <c r="BE21" s="1009">
        <v>2200000</v>
      </c>
      <c r="BF21" s="1010">
        <v>4317889</v>
      </c>
      <c r="BG21" s="1010">
        <v>4317889</v>
      </c>
      <c r="BH21" s="1010">
        <v>31000</v>
      </c>
      <c r="BI21" s="1011">
        <v>31000</v>
      </c>
      <c r="BJ21" s="1009">
        <v>300000</v>
      </c>
      <c r="BK21" s="1010">
        <v>474150</v>
      </c>
      <c r="BL21" s="1010">
        <v>470069</v>
      </c>
      <c r="BM21" s="1010">
        <v>36000</v>
      </c>
      <c r="BN21" s="1011">
        <v>36000</v>
      </c>
      <c r="BO21" s="1009">
        <v>4800000</v>
      </c>
      <c r="BP21" s="1010">
        <v>9058159</v>
      </c>
      <c r="BQ21" s="1010">
        <v>9058159</v>
      </c>
      <c r="BR21" s="1010">
        <v>42000</v>
      </c>
      <c r="BS21" s="1011">
        <v>42000</v>
      </c>
      <c r="BT21" s="1009">
        <v>2100000</v>
      </c>
      <c r="BU21" s="1010">
        <v>2813772</v>
      </c>
      <c r="BV21" s="1010">
        <v>2813772</v>
      </c>
      <c r="BW21" s="1013">
        <f t="shared" si="1"/>
        <v>549000</v>
      </c>
      <c r="BX21" s="1013">
        <f>SUM(C21+H21+M21+R21+W21+AB21+AG21+AL21+AT21+AY21+BD21+BI21+BN21+BS21)</f>
        <v>549000</v>
      </c>
      <c r="BY21" s="1014">
        <f>SUM(I21+N21+S21+X21+AC21+AH21+AM21+AU21+AZ21+BE21+BJ21+BO21+BT21+D21)</f>
        <v>33800000</v>
      </c>
      <c r="BZ21" s="1015">
        <f t="shared" si="2"/>
        <v>64074763</v>
      </c>
      <c r="CA21" s="1015">
        <f t="shared" si="3"/>
        <v>64074763</v>
      </c>
    </row>
    <row r="22" spans="1:79" s="633" customFormat="1" ht="15" hidden="1" customHeight="1">
      <c r="A22" s="321" t="s">
        <v>704</v>
      </c>
      <c r="B22" s="321"/>
      <c r="C22" s="321"/>
      <c r="D22" s="1009"/>
      <c r="E22" s="1010"/>
      <c r="F22" s="1010"/>
      <c r="G22" s="1011"/>
      <c r="H22" s="1011"/>
      <c r="I22" s="1009"/>
      <c r="J22" s="1010"/>
      <c r="K22" s="1010"/>
      <c r="L22" s="1011"/>
      <c r="M22" s="1011"/>
      <c r="N22" s="1009"/>
      <c r="O22" s="1010"/>
      <c r="P22" s="1010"/>
      <c r="Q22" s="1010"/>
      <c r="R22" s="1011"/>
      <c r="S22" s="1009"/>
      <c r="T22" s="1010"/>
      <c r="U22" s="1010"/>
      <c r="V22" s="1011"/>
      <c r="W22" s="1011"/>
      <c r="X22" s="1009"/>
      <c r="Y22" s="1010"/>
      <c r="Z22" s="1010"/>
      <c r="AA22" s="1011"/>
      <c r="AB22" s="1011"/>
      <c r="AC22" s="1009"/>
      <c r="AD22" s="1010"/>
      <c r="AE22" s="1010"/>
      <c r="AF22" s="1011"/>
      <c r="AG22" s="1011"/>
      <c r="AH22" s="1009"/>
      <c r="AI22" s="1010"/>
      <c r="AJ22" s="1010"/>
      <c r="AK22" s="1010"/>
      <c r="AL22" s="432"/>
      <c r="AM22" s="1012"/>
      <c r="AN22" s="1010"/>
      <c r="AO22" s="1010"/>
      <c r="AP22" s="1010"/>
      <c r="AQ22" s="1010"/>
      <c r="AR22" s="1010"/>
      <c r="AS22" s="1011"/>
      <c r="AT22" s="1011"/>
      <c r="AU22" s="1009"/>
      <c r="AV22" s="1010"/>
      <c r="AW22" s="1010"/>
      <c r="AX22" s="1011"/>
      <c r="AY22" s="1011"/>
      <c r="AZ22" s="1009"/>
      <c r="BA22" s="1010"/>
      <c r="BB22" s="1010"/>
      <c r="BC22" s="1011"/>
      <c r="BD22" s="1011"/>
      <c r="BE22" s="1009"/>
      <c r="BF22" s="1010"/>
      <c r="BG22" s="1010"/>
      <c r="BH22" s="1010"/>
      <c r="BI22" s="1011"/>
      <c r="BJ22" s="1009"/>
      <c r="BK22" s="1010"/>
      <c r="BL22" s="1010"/>
      <c r="BM22" s="1011"/>
      <c r="BN22" s="1011"/>
      <c r="BO22" s="1009"/>
      <c r="BP22" s="1010"/>
      <c r="BQ22" s="1010"/>
      <c r="BR22" s="1010"/>
      <c r="BS22" s="1011"/>
      <c r="BT22" s="1009"/>
      <c r="BU22" s="1010"/>
      <c r="BV22" s="1010"/>
      <c r="BW22" s="1013">
        <f t="shared" si="1"/>
        <v>0</v>
      </c>
      <c r="BX22" s="1013"/>
      <c r="BY22" s="1014"/>
      <c r="BZ22" s="1015">
        <f t="shared" si="2"/>
        <v>0</v>
      </c>
      <c r="CA22" s="1015">
        <f t="shared" si="3"/>
        <v>0</v>
      </c>
    </row>
    <row r="23" spans="1:79" s="633" customFormat="1" ht="15" customHeight="1">
      <c r="A23" s="404" t="s">
        <v>705</v>
      </c>
      <c r="B23" s="404"/>
      <c r="C23" s="404"/>
      <c r="D23" s="1009"/>
      <c r="E23" s="1010">
        <f>SUM(C23+D23)</f>
        <v>0</v>
      </c>
      <c r="F23" s="1010"/>
      <c r="G23" s="1011"/>
      <c r="H23" s="1011"/>
      <c r="I23" s="1009"/>
      <c r="J23" s="1010">
        <v>240699</v>
      </c>
      <c r="K23" s="1010">
        <v>226297</v>
      </c>
      <c r="L23" s="1011">
        <v>62710060</v>
      </c>
      <c r="M23" s="1011">
        <v>67279328</v>
      </c>
      <c r="N23" s="1009"/>
      <c r="O23" s="1010">
        <v>67186122</v>
      </c>
      <c r="P23" s="1010">
        <v>65895498</v>
      </c>
      <c r="Q23" s="1010"/>
      <c r="R23" s="1011"/>
      <c r="S23" s="1009"/>
      <c r="T23" s="1010">
        <v>5518</v>
      </c>
      <c r="U23" s="1010">
        <v>5518</v>
      </c>
      <c r="V23" s="1011">
        <v>36961883</v>
      </c>
      <c r="W23" s="1011">
        <v>36961883</v>
      </c>
      <c r="X23" s="1009"/>
      <c r="Y23" s="1010">
        <v>38472337</v>
      </c>
      <c r="Z23" s="1010">
        <v>37713663</v>
      </c>
      <c r="AA23" s="1011"/>
      <c r="AB23" s="1011"/>
      <c r="AC23" s="1009"/>
      <c r="AD23" s="1010">
        <v>356414</v>
      </c>
      <c r="AE23" s="1010">
        <v>356414</v>
      </c>
      <c r="AF23" s="1011">
        <v>21904786</v>
      </c>
      <c r="AG23" s="1011">
        <v>22495814</v>
      </c>
      <c r="AH23" s="1009"/>
      <c r="AI23" s="1010">
        <v>27544573</v>
      </c>
      <c r="AJ23" s="1010">
        <v>27259185</v>
      </c>
      <c r="AK23" s="1010"/>
      <c r="AL23" s="432"/>
      <c r="AM23" s="1012"/>
      <c r="AN23" s="1010">
        <f>SUM(AL23+AM23)</f>
        <v>0</v>
      </c>
      <c r="AO23" s="1010"/>
      <c r="AP23" s="1010"/>
      <c r="AQ23" s="1010">
        <v>20916843</v>
      </c>
      <c r="AR23" s="1010">
        <v>20106443</v>
      </c>
      <c r="AS23" s="1011">
        <v>34921024</v>
      </c>
      <c r="AT23" s="1011">
        <v>34921024</v>
      </c>
      <c r="AU23" s="1009"/>
      <c r="AV23" s="1010">
        <v>41761392</v>
      </c>
      <c r="AW23" s="1010">
        <v>41188217</v>
      </c>
      <c r="AX23" s="1011">
        <v>14295000</v>
      </c>
      <c r="AY23" s="1011">
        <v>14295000</v>
      </c>
      <c r="AZ23" s="1009"/>
      <c r="BA23" s="1010">
        <v>13110833</v>
      </c>
      <c r="BB23" s="1010">
        <v>12955843</v>
      </c>
      <c r="BC23" s="1011">
        <v>45201600</v>
      </c>
      <c r="BD23" s="1011">
        <v>46381632</v>
      </c>
      <c r="BE23" s="1009"/>
      <c r="BF23" s="1010">
        <v>45055250</v>
      </c>
      <c r="BG23" s="1010">
        <v>44232617</v>
      </c>
      <c r="BH23" s="1010"/>
      <c r="BI23" s="1011"/>
      <c r="BJ23" s="1009"/>
      <c r="BK23" s="1010">
        <f>SUM(BI23+BJ23)</f>
        <v>0</v>
      </c>
      <c r="BL23" s="1010"/>
      <c r="BM23" s="1011">
        <v>63052960</v>
      </c>
      <c r="BN23" s="1011">
        <v>64787024</v>
      </c>
      <c r="BO23" s="1009"/>
      <c r="BP23" s="1010">
        <v>66253605</v>
      </c>
      <c r="BQ23" s="1010">
        <v>65029737</v>
      </c>
      <c r="BR23" s="1010"/>
      <c r="BS23" s="1011"/>
      <c r="BT23" s="1009"/>
      <c r="BU23" s="1010">
        <f>SUM(BS23+BT23)</f>
        <v>0</v>
      </c>
      <c r="BV23" s="1010"/>
      <c r="BW23" s="1013">
        <f t="shared" si="1"/>
        <v>279047313</v>
      </c>
      <c r="BX23" s="1013">
        <f t="shared" ref="BX23:BX33" si="4">SUM(C23+H23+M23+R23+W23+AB23+AG23+AL23+AT23+AY23+BD23+BI23+BN23+BS23)</f>
        <v>287121705</v>
      </c>
      <c r="BY23" s="1014">
        <f t="shared" ref="BY23:BY33" si="5">SUM(I23+N23+S23+X23+AC23+AH23+AM23+AU23+AZ23+BE23+BJ23+BO23+BT23+D23)</f>
        <v>0</v>
      </c>
      <c r="BZ23" s="1015">
        <f t="shared" si="2"/>
        <v>320903586</v>
      </c>
      <c r="CA23" s="1015">
        <f t="shared" si="3"/>
        <v>314969432</v>
      </c>
    </row>
    <row r="24" spans="1:79" s="633" customFormat="1" ht="15" customHeight="1">
      <c r="A24" s="404" t="s">
        <v>706</v>
      </c>
      <c r="B24" s="1011"/>
      <c r="C24" s="1011"/>
      <c r="D24" s="1009"/>
      <c r="E24" s="1010">
        <f>SUM(C24+D24)</f>
        <v>0</v>
      </c>
      <c r="F24" s="1010"/>
      <c r="G24" s="1011"/>
      <c r="H24" s="1011"/>
      <c r="I24" s="1009"/>
      <c r="J24" s="1010">
        <f>SUM(H24+I24)</f>
        <v>0</v>
      </c>
      <c r="K24" s="1010"/>
      <c r="L24" s="1011"/>
      <c r="M24" s="1011"/>
      <c r="N24" s="1009"/>
      <c r="O24" s="1010">
        <f>SUM(M24+N24)</f>
        <v>0</v>
      </c>
      <c r="P24" s="1010"/>
      <c r="Q24" s="1011"/>
      <c r="R24" s="1011"/>
      <c r="S24" s="1009"/>
      <c r="T24" s="1010">
        <f>SUM(R24+S24)</f>
        <v>0</v>
      </c>
      <c r="U24" s="1010"/>
      <c r="V24" s="1011"/>
      <c r="W24" s="1011"/>
      <c r="X24" s="1009"/>
      <c r="Y24" s="1010">
        <f>SUM(W24+X24)</f>
        <v>0</v>
      </c>
      <c r="Z24" s="1010"/>
      <c r="AA24" s="1011"/>
      <c r="AB24" s="1011"/>
      <c r="AC24" s="1009"/>
      <c r="AD24" s="1010">
        <f>SUM(AB24+AC24)</f>
        <v>0</v>
      </c>
      <c r="AE24" s="1010"/>
      <c r="AF24" s="1011"/>
      <c r="AG24" s="1011"/>
      <c r="AH24" s="1009"/>
      <c r="AI24" s="1010">
        <f>SUM(AG24+AH24)</f>
        <v>0</v>
      </c>
      <c r="AJ24" s="1010"/>
      <c r="AK24" s="432"/>
      <c r="AL24" s="432"/>
      <c r="AM24" s="1012"/>
      <c r="AN24" s="1010">
        <f>SUM(AL24+AM24)</f>
        <v>0</v>
      </c>
      <c r="AO24" s="1010"/>
      <c r="AP24" s="1010"/>
      <c r="AQ24" s="1010"/>
      <c r="AR24" s="1010"/>
      <c r="AS24" s="1011"/>
      <c r="AT24" s="1011"/>
      <c r="AU24" s="1009"/>
      <c r="AV24" s="1010">
        <f>SUM(AT24+AU24)</f>
        <v>0</v>
      </c>
      <c r="AW24" s="1010"/>
      <c r="AX24" s="1011"/>
      <c r="AY24" s="1011"/>
      <c r="AZ24" s="1009"/>
      <c r="BA24" s="1010">
        <f>SUM(AY24+AZ24)</f>
        <v>0</v>
      </c>
      <c r="BB24" s="1010"/>
      <c r="BC24" s="1011"/>
      <c r="BD24" s="1011"/>
      <c r="BE24" s="1009"/>
      <c r="BF24" s="1010">
        <f>SUM(BD24+BE24)</f>
        <v>0</v>
      </c>
      <c r="BG24" s="1010"/>
      <c r="BH24" s="1011"/>
      <c r="BI24" s="1011"/>
      <c r="BJ24" s="1009"/>
      <c r="BK24" s="1010">
        <f>SUM(BI24+BJ24)</f>
        <v>0</v>
      </c>
      <c r="BL24" s="1010"/>
      <c r="BM24" s="1011"/>
      <c r="BN24" s="1011"/>
      <c r="BO24" s="1009"/>
      <c r="BP24" s="1010">
        <f>SUM(BN24+BO24)</f>
        <v>0</v>
      </c>
      <c r="BQ24" s="1010"/>
      <c r="BR24" s="1011"/>
      <c r="BS24" s="1011"/>
      <c r="BT24" s="1009"/>
      <c r="BU24" s="1010">
        <f>SUM(BS24+BT24)</f>
        <v>0</v>
      </c>
      <c r="BV24" s="1010"/>
      <c r="BW24" s="1013">
        <f t="shared" si="1"/>
        <v>0</v>
      </c>
      <c r="BX24" s="1013">
        <f t="shared" si="4"/>
        <v>0</v>
      </c>
      <c r="BY24" s="1014">
        <f t="shared" si="5"/>
        <v>0</v>
      </c>
      <c r="BZ24" s="1015">
        <f t="shared" si="2"/>
        <v>0</v>
      </c>
      <c r="CA24" s="1015">
        <f t="shared" si="3"/>
        <v>0</v>
      </c>
    </row>
    <row r="25" spans="1:79" s="415" customFormat="1" ht="15" customHeight="1">
      <c r="A25" s="321" t="s">
        <v>707</v>
      </c>
      <c r="B25" s="321">
        <v>17902000</v>
      </c>
      <c r="C25" s="321">
        <v>20816814</v>
      </c>
      <c r="D25" s="1009"/>
      <c r="E25" s="1010">
        <v>23564225</v>
      </c>
      <c r="F25" s="1010">
        <v>23012866</v>
      </c>
      <c r="G25" s="1010">
        <v>20621497</v>
      </c>
      <c r="H25" s="1011">
        <v>21135487</v>
      </c>
      <c r="I25" s="1009"/>
      <c r="J25" s="1010">
        <v>22905032</v>
      </c>
      <c r="K25" s="1010">
        <v>22455814</v>
      </c>
      <c r="L25" s="1010">
        <v>35494916</v>
      </c>
      <c r="M25" s="1011">
        <v>42207991</v>
      </c>
      <c r="N25" s="1009"/>
      <c r="O25" s="1010">
        <v>42643294</v>
      </c>
      <c r="P25" s="1010">
        <v>41433225</v>
      </c>
      <c r="Q25" s="1010">
        <v>37639032</v>
      </c>
      <c r="R25" s="1011">
        <v>43672520</v>
      </c>
      <c r="S25" s="1009"/>
      <c r="T25" s="1010">
        <v>43758606</v>
      </c>
      <c r="U25" s="1010">
        <v>42733691</v>
      </c>
      <c r="V25" s="1010">
        <v>19096700</v>
      </c>
      <c r="W25" s="1011">
        <v>20588007</v>
      </c>
      <c r="X25" s="1009"/>
      <c r="Y25" s="1010">
        <v>21244330</v>
      </c>
      <c r="Z25" s="1010">
        <v>20778572</v>
      </c>
      <c r="AA25" s="1010">
        <v>33525377</v>
      </c>
      <c r="AB25" s="1011">
        <v>35028407</v>
      </c>
      <c r="AC25" s="1009"/>
      <c r="AD25" s="1010">
        <v>36518854</v>
      </c>
      <c r="AE25" s="1010">
        <v>35542081</v>
      </c>
      <c r="AF25" s="1010">
        <v>13658850</v>
      </c>
      <c r="AG25" s="1011">
        <v>16398299</v>
      </c>
      <c r="AH25" s="1009"/>
      <c r="AI25" s="1010">
        <v>22377101</v>
      </c>
      <c r="AJ25" s="1010">
        <v>22128999</v>
      </c>
      <c r="AK25" s="1010">
        <v>31534000</v>
      </c>
      <c r="AL25" s="432">
        <v>33772840</v>
      </c>
      <c r="AM25" s="1012"/>
      <c r="AN25" s="1010">
        <v>14581081</v>
      </c>
      <c r="AO25" s="1010">
        <v>14581081</v>
      </c>
      <c r="AP25" s="1010"/>
      <c r="AQ25" s="1010">
        <v>19078831</v>
      </c>
      <c r="AR25" s="1010">
        <v>18229954</v>
      </c>
      <c r="AS25" s="1010">
        <v>18795220</v>
      </c>
      <c r="AT25" s="1011">
        <v>20165172</v>
      </c>
      <c r="AU25" s="1009"/>
      <c r="AV25" s="1010">
        <v>22051509</v>
      </c>
      <c r="AW25" s="1010">
        <v>21703000</v>
      </c>
      <c r="AX25" s="1010">
        <v>40706956</v>
      </c>
      <c r="AY25" s="1011">
        <v>42908070</v>
      </c>
      <c r="AZ25" s="1009"/>
      <c r="BA25" s="1010">
        <v>47022350</v>
      </c>
      <c r="BB25" s="1010">
        <v>46066932</v>
      </c>
      <c r="BC25" s="1010">
        <v>43153970</v>
      </c>
      <c r="BD25" s="1011">
        <v>46282932</v>
      </c>
      <c r="BE25" s="1009"/>
      <c r="BF25" s="1010">
        <v>47830219</v>
      </c>
      <c r="BG25" s="1010">
        <v>46821257</v>
      </c>
      <c r="BH25" s="1010">
        <v>6069000</v>
      </c>
      <c r="BI25" s="1011">
        <v>6468656</v>
      </c>
      <c r="BJ25" s="1009"/>
      <c r="BK25" s="1010">
        <v>7953834</v>
      </c>
      <c r="BL25" s="1010">
        <v>7782920</v>
      </c>
      <c r="BM25" s="1010">
        <v>39113584</v>
      </c>
      <c r="BN25" s="1011">
        <v>40409642</v>
      </c>
      <c r="BO25" s="1009"/>
      <c r="BP25" s="1010">
        <v>39737492</v>
      </c>
      <c r="BQ25" s="1010">
        <v>38700772</v>
      </c>
      <c r="BR25" s="1010">
        <v>38335417</v>
      </c>
      <c r="BS25" s="1011">
        <v>23464830</v>
      </c>
      <c r="BT25" s="1009">
        <v>6353000</v>
      </c>
      <c r="BU25" s="1010">
        <v>33971863</v>
      </c>
      <c r="BV25" s="1010">
        <v>33945287</v>
      </c>
      <c r="BW25" s="1013">
        <f t="shared" si="1"/>
        <v>395646519</v>
      </c>
      <c r="BX25" s="1013">
        <f t="shared" si="4"/>
        <v>413319667</v>
      </c>
      <c r="BY25" s="1014">
        <f t="shared" si="5"/>
        <v>6353000</v>
      </c>
      <c r="BZ25" s="1015">
        <f t="shared" si="2"/>
        <v>445238621</v>
      </c>
      <c r="CA25" s="1015">
        <f t="shared" si="3"/>
        <v>435916451</v>
      </c>
    </row>
    <row r="26" spans="1:79" s="633" customFormat="1" ht="15" customHeight="1">
      <c r="A26" s="321" t="s">
        <v>17</v>
      </c>
      <c r="B26" s="321"/>
      <c r="C26" s="321"/>
      <c r="D26" s="1009"/>
      <c r="E26" s="1010">
        <f t="shared" ref="E26:E33" si="6">SUM(C26+D26)</f>
        <v>0</v>
      </c>
      <c r="F26" s="1010"/>
      <c r="G26" s="1010"/>
      <c r="H26" s="1011"/>
      <c r="I26" s="1009"/>
      <c r="J26" s="1010">
        <f t="shared" ref="J26:J33" si="7">SUM(H26+I26)</f>
        <v>0</v>
      </c>
      <c r="K26" s="1010"/>
      <c r="L26" s="1010"/>
      <c r="M26" s="1011"/>
      <c r="N26" s="1009"/>
      <c r="O26" s="1010">
        <f t="shared" ref="O26:O33" si="8">SUM(M26+N26)</f>
        <v>0</v>
      </c>
      <c r="P26" s="1010"/>
      <c r="Q26" s="1010"/>
      <c r="R26" s="1011"/>
      <c r="S26" s="1009"/>
      <c r="T26" s="1010">
        <f t="shared" ref="T26:T33" si="9">SUM(R26+S26)</f>
        <v>0</v>
      </c>
      <c r="U26" s="1010"/>
      <c r="V26" s="1010"/>
      <c r="W26" s="1011"/>
      <c r="X26" s="1009"/>
      <c r="Y26" s="1010">
        <f t="shared" ref="Y26:Y33" si="10">SUM(W26+X26)</f>
        <v>0</v>
      </c>
      <c r="Z26" s="1010"/>
      <c r="AA26" s="1010"/>
      <c r="AB26" s="1011"/>
      <c r="AC26" s="1009"/>
      <c r="AD26" s="1010">
        <f t="shared" ref="AD26:AD33" si="11">SUM(AB26+AC26)</f>
        <v>0</v>
      </c>
      <c r="AE26" s="1010"/>
      <c r="AF26" s="1010"/>
      <c r="AG26" s="1011"/>
      <c r="AH26" s="1009"/>
      <c r="AI26" s="1010">
        <f t="shared" ref="AI26:AI33" si="12">SUM(AG26+AH26)</f>
        <v>0</v>
      </c>
      <c r="AJ26" s="1010"/>
      <c r="AK26" s="1010"/>
      <c r="AL26" s="432"/>
      <c r="AM26" s="1012"/>
      <c r="AN26" s="1010">
        <f t="shared" ref="AN26:AN33" si="13">SUM(AL26+AM26)</f>
        <v>0</v>
      </c>
      <c r="AO26" s="1010"/>
      <c r="AP26" s="1010"/>
      <c r="AQ26" s="1010"/>
      <c r="AR26" s="1010"/>
      <c r="AS26" s="1010"/>
      <c r="AT26" s="1011"/>
      <c r="AU26" s="1009"/>
      <c r="AV26" s="1010">
        <f t="shared" ref="AV26:AV33" si="14">SUM(AT26+AU26)</f>
        <v>0</v>
      </c>
      <c r="AW26" s="1010"/>
      <c r="AX26" s="1010"/>
      <c r="AY26" s="1011"/>
      <c r="AZ26" s="1009"/>
      <c r="BA26" s="1010">
        <f t="shared" ref="BA26:BA33" si="15">SUM(AY26+AZ26)</f>
        <v>0</v>
      </c>
      <c r="BB26" s="1010"/>
      <c r="BC26" s="1010"/>
      <c r="BD26" s="1011"/>
      <c r="BE26" s="1009"/>
      <c r="BF26" s="1010">
        <f t="shared" ref="BF26:BF33" si="16">SUM(BD26+BE26)</f>
        <v>0</v>
      </c>
      <c r="BG26" s="1010"/>
      <c r="BH26" s="1010"/>
      <c r="BI26" s="1011"/>
      <c r="BJ26" s="1009"/>
      <c r="BK26" s="1010">
        <f t="shared" ref="BK26:BK33" si="17">SUM(BI26+BJ26)</f>
        <v>0</v>
      </c>
      <c r="BL26" s="1010"/>
      <c r="BM26" s="1010"/>
      <c r="BN26" s="1011"/>
      <c r="BO26" s="1009"/>
      <c r="BP26" s="1010">
        <f t="shared" ref="BP26:BP33" si="18">SUM(BN26+BO26)</f>
        <v>0</v>
      </c>
      <c r="BQ26" s="1010"/>
      <c r="BR26" s="1010"/>
      <c r="BS26" s="1011"/>
      <c r="BT26" s="1009"/>
      <c r="BU26" s="1010">
        <f t="shared" ref="BU26:BU33" si="19">SUM(BS26+BT26)</f>
        <v>0</v>
      </c>
      <c r="BV26" s="1010"/>
      <c r="BW26" s="1013">
        <f t="shared" si="1"/>
        <v>0</v>
      </c>
      <c r="BX26" s="1013">
        <f t="shared" si="4"/>
        <v>0</v>
      </c>
      <c r="BY26" s="1014">
        <f t="shared" si="5"/>
        <v>0</v>
      </c>
      <c r="BZ26" s="1015">
        <f t="shared" si="2"/>
        <v>0</v>
      </c>
      <c r="CA26" s="1015">
        <f t="shared" si="3"/>
        <v>0</v>
      </c>
    </row>
    <row r="27" spans="1:79" s="633" customFormat="1" ht="15" hidden="1" customHeight="1">
      <c r="A27" s="321" t="s">
        <v>19</v>
      </c>
      <c r="B27" s="321"/>
      <c r="C27" s="321"/>
      <c r="D27" s="1009"/>
      <c r="E27" s="1010">
        <f t="shared" si="6"/>
        <v>0</v>
      </c>
      <c r="F27" s="1010"/>
      <c r="G27" s="1010"/>
      <c r="H27" s="1011"/>
      <c r="I27" s="1009"/>
      <c r="J27" s="1010">
        <f t="shared" si="7"/>
        <v>0</v>
      </c>
      <c r="K27" s="1010"/>
      <c r="L27" s="1010"/>
      <c r="M27" s="1011"/>
      <c r="N27" s="1009"/>
      <c r="O27" s="1010">
        <f t="shared" si="8"/>
        <v>0</v>
      </c>
      <c r="P27" s="1010"/>
      <c r="Q27" s="1010"/>
      <c r="R27" s="1011"/>
      <c r="S27" s="1009"/>
      <c r="T27" s="1010">
        <f t="shared" si="9"/>
        <v>0</v>
      </c>
      <c r="U27" s="1010"/>
      <c r="V27" s="1010"/>
      <c r="W27" s="1011"/>
      <c r="X27" s="1009"/>
      <c r="Y27" s="1010">
        <f t="shared" si="10"/>
        <v>0</v>
      </c>
      <c r="Z27" s="1010"/>
      <c r="AA27" s="1010"/>
      <c r="AB27" s="1011"/>
      <c r="AC27" s="1009"/>
      <c r="AD27" s="1010">
        <f t="shared" si="11"/>
        <v>0</v>
      </c>
      <c r="AE27" s="1010"/>
      <c r="AF27" s="1010"/>
      <c r="AG27" s="1011"/>
      <c r="AH27" s="1009"/>
      <c r="AI27" s="1010">
        <f t="shared" si="12"/>
        <v>0</v>
      </c>
      <c r="AJ27" s="1010"/>
      <c r="AK27" s="1010"/>
      <c r="AL27" s="432"/>
      <c r="AM27" s="1012"/>
      <c r="AN27" s="1010">
        <f t="shared" si="13"/>
        <v>0</v>
      </c>
      <c r="AO27" s="1010"/>
      <c r="AP27" s="1010"/>
      <c r="AQ27" s="1010"/>
      <c r="AR27" s="1010"/>
      <c r="AS27" s="1010"/>
      <c r="AT27" s="1011"/>
      <c r="AU27" s="1009"/>
      <c r="AV27" s="1010">
        <f t="shared" si="14"/>
        <v>0</v>
      </c>
      <c r="AW27" s="1010"/>
      <c r="AX27" s="1010"/>
      <c r="AY27" s="1011"/>
      <c r="AZ27" s="1009"/>
      <c r="BA27" s="1010">
        <f t="shared" si="15"/>
        <v>0</v>
      </c>
      <c r="BB27" s="1010"/>
      <c r="BC27" s="1010"/>
      <c r="BD27" s="1011"/>
      <c r="BE27" s="1009"/>
      <c r="BF27" s="1010">
        <f t="shared" si="16"/>
        <v>0</v>
      </c>
      <c r="BG27" s="1010"/>
      <c r="BH27" s="1010"/>
      <c r="BI27" s="1011"/>
      <c r="BJ27" s="1009"/>
      <c r="BK27" s="1010">
        <f t="shared" si="17"/>
        <v>0</v>
      </c>
      <c r="BL27" s="1010"/>
      <c r="BM27" s="1010"/>
      <c r="BN27" s="1011"/>
      <c r="BO27" s="1009"/>
      <c r="BP27" s="1010">
        <f t="shared" si="18"/>
        <v>0</v>
      </c>
      <c r="BQ27" s="1010"/>
      <c r="BR27" s="1010"/>
      <c r="BS27" s="1011"/>
      <c r="BT27" s="1009"/>
      <c r="BU27" s="1010">
        <f t="shared" si="19"/>
        <v>0</v>
      </c>
      <c r="BV27" s="1010"/>
      <c r="BW27" s="1013">
        <f t="shared" si="1"/>
        <v>0</v>
      </c>
      <c r="BX27" s="1013">
        <f t="shared" si="4"/>
        <v>0</v>
      </c>
      <c r="BY27" s="1014">
        <f t="shared" si="5"/>
        <v>0</v>
      </c>
      <c r="BZ27" s="1015">
        <f t="shared" si="2"/>
        <v>0</v>
      </c>
      <c r="CA27" s="1015">
        <f t="shared" si="3"/>
        <v>0</v>
      </c>
    </row>
    <row r="28" spans="1:79" s="415" customFormat="1" ht="15" customHeight="1">
      <c r="A28" s="321" t="s">
        <v>708</v>
      </c>
      <c r="B28" s="321"/>
      <c r="C28" s="321"/>
      <c r="D28" s="1009"/>
      <c r="E28" s="1010">
        <f t="shared" si="6"/>
        <v>0</v>
      </c>
      <c r="F28" s="1010"/>
      <c r="G28" s="1010"/>
      <c r="H28" s="1011"/>
      <c r="I28" s="1009"/>
      <c r="J28" s="1010">
        <f t="shared" si="7"/>
        <v>0</v>
      </c>
      <c r="K28" s="1010"/>
      <c r="L28" s="1010"/>
      <c r="M28" s="1011"/>
      <c r="N28" s="1009"/>
      <c r="O28" s="1010">
        <f t="shared" si="8"/>
        <v>0</v>
      </c>
      <c r="P28" s="1010"/>
      <c r="Q28" s="1010"/>
      <c r="R28" s="1011"/>
      <c r="S28" s="1009"/>
      <c r="T28" s="1010">
        <f t="shared" si="9"/>
        <v>0</v>
      </c>
      <c r="U28" s="1010"/>
      <c r="V28" s="1010"/>
      <c r="W28" s="1011"/>
      <c r="X28" s="1009"/>
      <c r="Y28" s="1010">
        <f t="shared" si="10"/>
        <v>0</v>
      </c>
      <c r="Z28" s="1010"/>
      <c r="AA28" s="1010"/>
      <c r="AB28" s="1011"/>
      <c r="AC28" s="1009"/>
      <c r="AD28" s="1010">
        <f t="shared" si="11"/>
        <v>0</v>
      </c>
      <c r="AE28" s="1010"/>
      <c r="AF28" s="1010"/>
      <c r="AG28" s="1011"/>
      <c r="AH28" s="1009"/>
      <c r="AI28" s="1010">
        <f t="shared" si="12"/>
        <v>0</v>
      </c>
      <c r="AJ28" s="1010"/>
      <c r="AK28" s="1010"/>
      <c r="AL28" s="445"/>
      <c r="AM28" s="1012"/>
      <c r="AN28" s="1010">
        <f t="shared" si="13"/>
        <v>0</v>
      </c>
      <c r="AO28" s="1010"/>
      <c r="AP28" s="1010"/>
      <c r="AQ28" s="1010"/>
      <c r="AR28" s="1010"/>
      <c r="AS28" s="1010"/>
      <c r="AT28" s="1011"/>
      <c r="AU28" s="1009"/>
      <c r="AV28" s="1010">
        <f t="shared" si="14"/>
        <v>0</v>
      </c>
      <c r="AW28" s="1010"/>
      <c r="AX28" s="1010"/>
      <c r="AY28" s="1011"/>
      <c r="AZ28" s="1009"/>
      <c r="BA28" s="1010">
        <f t="shared" si="15"/>
        <v>0</v>
      </c>
      <c r="BB28" s="1010"/>
      <c r="BC28" s="1010"/>
      <c r="BD28" s="1011"/>
      <c r="BE28" s="1009"/>
      <c r="BF28" s="1010">
        <f t="shared" si="16"/>
        <v>0</v>
      </c>
      <c r="BG28" s="1010"/>
      <c r="BH28" s="1010"/>
      <c r="BI28" s="1011"/>
      <c r="BJ28" s="1009"/>
      <c r="BK28" s="1010">
        <f t="shared" si="17"/>
        <v>0</v>
      </c>
      <c r="BL28" s="1010"/>
      <c r="BM28" s="1010"/>
      <c r="BN28" s="1011"/>
      <c r="BO28" s="1009"/>
      <c r="BP28" s="1010">
        <f t="shared" si="18"/>
        <v>0</v>
      </c>
      <c r="BQ28" s="1010"/>
      <c r="BR28" s="1010"/>
      <c r="BS28" s="1011"/>
      <c r="BT28" s="1009"/>
      <c r="BU28" s="1010">
        <f t="shared" si="19"/>
        <v>0</v>
      </c>
      <c r="BV28" s="1010"/>
      <c r="BW28" s="1013">
        <f t="shared" si="1"/>
        <v>0</v>
      </c>
      <c r="BX28" s="1013">
        <f t="shared" si="4"/>
        <v>0</v>
      </c>
      <c r="BY28" s="1014">
        <f t="shared" si="5"/>
        <v>0</v>
      </c>
      <c r="BZ28" s="1015">
        <f t="shared" si="2"/>
        <v>0</v>
      </c>
      <c r="CA28" s="1015">
        <f t="shared" si="3"/>
        <v>0</v>
      </c>
    </row>
    <row r="29" spans="1:79" s="633" customFormat="1" ht="15" customHeight="1">
      <c r="A29" s="321" t="s">
        <v>709</v>
      </c>
      <c r="B29" s="321"/>
      <c r="C29" s="321"/>
      <c r="D29" s="1009"/>
      <c r="E29" s="1010">
        <f t="shared" si="6"/>
        <v>0</v>
      </c>
      <c r="F29" s="1010"/>
      <c r="G29" s="1010"/>
      <c r="H29" s="1011"/>
      <c r="I29" s="1009"/>
      <c r="J29" s="1010">
        <f t="shared" si="7"/>
        <v>0</v>
      </c>
      <c r="K29" s="1010"/>
      <c r="L29" s="1010"/>
      <c r="M29" s="1011"/>
      <c r="N29" s="1009"/>
      <c r="O29" s="1010">
        <f t="shared" si="8"/>
        <v>0</v>
      </c>
      <c r="P29" s="1010"/>
      <c r="Q29" s="1010"/>
      <c r="R29" s="1011"/>
      <c r="S29" s="1009"/>
      <c r="T29" s="1010">
        <f t="shared" si="9"/>
        <v>0</v>
      </c>
      <c r="U29" s="1010"/>
      <c r="V29" s="1010"/>
      <c r="W29" s="1011"/>
      <c r="X29" s="1009"/>
      <c r="Y29" s="1010">
        <f t="shared" si="10"/>
        <v>0</v>
      </c>
      <c r="Z29" s="1010"/>
      <c r="AA29" s="1010"/>
      <c r="AB29" s="1011"/>
      <c r="AC29" s="1009"/>
      <c r="AD29" s="1010">
        <f t="shared" si="11"/>
        <v>0</v>
      </c>
      <c r="AE29" s="1010"/>
      <c r="AF29" s="1010"/>
      <c r="AG29" s="1011"/>
      <c r="AH29" s="1009"/>
      <c r="AI29" s="1010">
        <f t="shared" si="12"/>
        <v>0</v>
      </c>
      <c r="AJ29" s="1010"/>
      <c r="AK29" s="1010"/>
      <c r="AL29" s="432"/>
      <c r="AM29" s="1012"/>
      <c r="AN29" s="1010">
        <f t="shared" si="13"/>
        <v>0</v>
      </c>
      <c r="AO29" s="1010"/>
      <c r="AP29" s="1010"/>
      <c r="AQ29" s="1010"/>
      <c r="AR29" s="1010"/>
      <c r="AS29" s="1010"/>
      <c r="AT29" s="1011"/>
      <c r="AU29" s="1009"/>
      <c r="AV29" s="1010">
        <f t="shared" si="14"/>
        <v>0</v>
      </c>
      <c r="AW29" s="1010"/>
      <c r="AX29" s="1010"/>
      <c r="AY29" s="1011"/>
      <c r="AZ29" s="1009"/>
      <c r="BA29" s="1010">
        <f t="shared" si="15"/>
        <v>0</v>
      </c>
      <c r="BB29" s="1010"/>
      <c r="BC29" s="1010"/>
      <c r="BD29" s="1011"/>
      <c r="BE29" s="1009"/>
      <c r="BF29" s="1010">
        <f t="shared" si="16"/>
        <v>0</v>
      </c>
      <c r="BG29" s="1010"/>
      <c r="BH29" s="1010"/>
      <c r="BI29" s="1011"/>
      <c r="BJ29" s="1009"/>
      <c r="BK29" s="1010">
        <f t="shared" si="17"/>
        <v>0</v>
      </c>
      <c r="BL29" s="1010"/>
      <c r="BM29" s="1010"/>
      <c r="BN29" s="1011"/>
      <c r="BO29" s="1009"/>
      <c r="BP29" s="1010">
        <f t="shared" si="18"/>
        <v>0</v>
      </c>
      <c r="BQ29" s="1010"/>
      <c r="BR29" s="1010"/>
      <c r="BS29" s="1011"/>
      <c r="BT29" s="1009"/>
      <c r="BU29" s="1010">
        <f t="shared" si="19"/>
        <v>0</v>
      </c>
      <c r="BV29" s="1010"/>
      <c r="BW29" s="1013">
        <f t="shared" si="1"/>
        <v>0</v>
      </c>
      <c r="BX29" s="1013">
        <f t="shared" si="4"/>
        <v>0</v>
      </c>
      <c r="BY29" s="1014">
        <f t="shared" si="5"/>
        <v>0</v>
      </c>
      <c r="BZ29" s="1015">
        <f t="shared" si="2"/>
        <v>0</v>
      </c>
      <c r="CA29" s="1015">
        <f t="shared" si="3"/>
        <v>0</v>
      </c>
    </row>
    <row r="30" spans="1:79" s="633" customFormat="1" ht="15" hidden="1" customHeight="1">
      <c r="A30" s="321" t="s">
        <v>710</v>
      </c>
      <c r="B30" s="321"/>
      <c r="C30" s="321"/>
      <c r="D30" s="1009"/>
      <c r="E30" s="1010">
        <f t="shared" si="6"/>
        <v>0</v>
      </c>
      <c r="F30" s="1010"/>
      <c r="G30" s="1010"/>
      <c r="H30" s="1011"/>
      <c r="I30" s="1009"/>
      <c r="J30" s="1010">
        <f t="shared" si="7"/>
        <v>0</v>
      </c>
      <c r="K30" s="1010"/>
      <c r="L30" s="1010"/>
      <c r="M30" s="1011"/>
      <c r="N30" s="1009"/>
      <c r="O30" s="1010">
        <f t="shared" si="8"/>
        <v>0</v>
      </c>
      <c r="P30" s="1010"/>
      <c r="Q30" s="1010"/>
      <c r="R30" s="1011"/>
      <c r="S30" s="1009"/>
      <c r="T30" s="1010">
        <f t="shared" si="9"/>
        <v>0</v>
      </c>
      <c r="U30" s="1010">
        <f>R30-Q30</f>
        <v>0</v>
      </c>
      <c r="V30" s="1010"/>
      <c r="W30" s="1011"/>
      <c r="X30" s="1009"/>
      <c r="Y30" s="1010">
        <f t="shared" si="10"/>
        <v>0</v>
      </c>
      <c r="Z30" s="1010">
        <f>W30-V30</f>
        <v>0</v>
      </c>
      <c r="AA30" s="1010"/>
      <c r="AB30" s="1011"/>
      <c r="AC30" s="1009"/>
      <c r="AD30" s="1010">
        <f t="shared" si="11"/>
        <v>0</v>
      </c>
      <c r="AE30" s="1010"/>
      <c r="AF30" s="1010"/>
      <c r="AG30" s="1011"/>
      <c r="AH30" s="1009"/>
      <c r="AI30" s="1010">
        <f t="shared" si="12"/>
        <v>0</v>
      </c>
      <c r="AJ30" s="1010">
        <f>AG30-AF30</f>
        <v>0</v>
      </c>
      <c r="AK30" s="1010"/>
      <c r="AL30" s="432"/>
      <c r="AM30" s="1012"/>
      <c r="AN30" s="1010">
        <f t="shared" si="13"/>
        <v>0</v>
      </c>
      <c r="AO30" s="1010"/>
      <c r="AP30" s="1010"/>
      <c r="AQ30" s="1010"/>
      <c r="AR30" s="1010"/>
      <c r="AS30" s="1010"/>
      <c r="AT30" s="1011"/>
      <c r="AU30" s="1009"/>
      <c r="AV30" s="1010">
        <f t="shared" si="14"/>
        <v>0</v>
      </c>
      <c r="AW30" s="1010">
        <f>AT30-AS30</f>
        <v>0</v>
      </c>
      <c r="AX30" s="1010"/>
      <c r="AY30" s="1011"/>
      <c r="AZ30" s="1009"/>
      <c r="BA30" s="1010">
        <f t="shared" si="15"/>
        <v>0</v>
      </c>
      <c r="BB30" s="1010"/>
      <c r="BC30" s="1010"/>
      <c r="BD30" s="1011"/>
      <c r="BE30" s="1009"/>
      <c r="BF30" s="1010">
        <f t="shared" si="16"/>
        <v>0</v>
      </c>
      <c r="BG30" s="1010">
        <f>BD30-BC30</f>
        <v>0</v>
      </c>
      <c r="BH30" s="1010"/>
      <c r="BI30" s="1011"/>
      <c r="BJ30" s="1009"/>
      <c r="BK30" s="1010">
        <f t="shared" si="17"/>
        <v>0</v>
      </c>
      <c r="BL30" s="1010">
        <f>BI30-BH30</f>
        <v>0</v>
      </c>
      <c r="BM30" s="1010"/>
      <c r="BN30" s="1011"/>
      <c r="BO30" s="1009"/>
      <c r="BP30" s="1010">
        <f t="shared" si="18"/>
        <v>0</v>
      </c>
      <c r="BQ30" s="1010">
        <f>BN30-BM30</f>
        <v>0</v>
      </c>
      <c r="BR30" s="1010"/>
      <c r="BS30" s="1011"/>
      <c r="BT30" s="1009"/>
      <c r="BU30" s="1010">
        <f t="shared" si="19"/>
        <v>0</v>
      </c>
      <c r="BV30" s="1010">
        <f>BS30-BR30</f>
        <v>0</v>
      </c>
      <c r="BW30" s="1013">
        <f t="shared" si="1"/>
        <v>0</v>
      </c>
      <c r="BX30" s="1013">
        <f t="shared" si="4"/>
        <v>0</v>
      </c>
      <c r="BY30" s="1014">
        <f t="shared" si="5"/>
        <v>0</v>
      </c>
      <c r="BZ30" s="1015">
        <f t="shared" si="2"/>
        <v>0</v>
      </c>
      <c r="CA30" s="1015">
        <f t="shared" si="3"/>
        <v>0</v>
      </c>
    </row>
    <row r="31" spans="1:79" s="633" customFormat="1" ht="15" customHeight="1">
      <c r="A31" s="321" t="s">
        <v>711</v>
      </c>
      <c r="B31" s="321"/>
      <c r="C31" s="321"/>
      <c r="D31" s="1009"/>
      <c r="E31" s="1010">
        <f t="shared" si="6"/>
        <v>0</v>
      </c>
      <c r="F31" s="1010"/>
      <c r="G31" s="1010"/>
      <c r="H31" s="1011"/>
      <c r="I31" s="1009"/>
      <c r="J31" s="1010">
        <f t="shared" si="7"/>
        <v>0</v>
      </c>
      <c r="K31" s="1010"/>
      <c r="L31" s="1010"/>
      <c r="M31" s="1011"/>
      <c r="N31" s="1009"/>
      <c r="O31" s="1010">
        <f t="shared" si="8"/>
        <v>0</v>
      </c>
      <c r="P31" s="1010"/>
      <c r="Q31" s="1010"/>
      <c r="R31" s="1011"/>
      <c r="S31" s="1009"/>
      <c r="T31" s="1010">
        <f t="shared" si="9"/>
        <v>0</v>
      </c>
      <c r="U31" s="1010"/>
      <c r="V31" s="1010"/>
      <c r="W31" s="1011"/>
      <c r="X31" s="1009"/>
      <c r="Y31" s="1010">
        <f t="shared" si="10"/>
        <v>0</v>
      </c>
      <c r="Z31" s="1010"/>
      <c r="AA31" s="1010"/>
      <c r="AB31" s="1011"/>
      <c r="AC31" s="1009"/>
      <c r="AD31" s="1010">
        <f t="shared" si="11"/>
        <v>0</v>
      </c>
      <c r="AE31" s="1010"/>
      <c r="AF31" s="1010"/>
      <c r="AG31" s="1011"/>
      <c r="AH31" s="1009"/>
      <c r="AI31" s="1010">
        <f t="shared" si="12"/>
        <v>0</v>
      </c>
      <c r="AJ31" s="1010"/>
      <c r="AK31" s="1010"/>
      <c r="AL31" s="432"/>
      <c r="AM31" s="1012"/>
      <c r="AN31" s="1010">
        <f t="shared" si="13"/>
        <v>0</v>
      </c>
      <c r="AO31" s="1010"/>
      <c r="AP31" s="1010"/>
      <c r="AQ31" s="1010"/>
      <c r="AR31" s="1010"/>
      <c r="AS31" s="1010"/>
      <c r="AT31" s="1011"/>
      <c r="AU31" s="1009"/>
      <c r="AV31" s="1010">
        <f t="shared" si="14"/>
        <v>0</v>
      </c>
      <c r="AW31" s="1010"/>
      <c r="AX31" s="1010"/>
      <c r="AY31" s="1011"/>
      <c r="AZ31" s="1009"/>
      <c r="BA31" s="1010">
        <f t="shared" si="15"/>
        <v>0</v>
      </c>
      <c r="BB31" s="1010"/>
      <c r="BC31" s="1010"/>
      <c r="BD31" s="1011"/>
      <c r="BE31" s="1009"/>
      <c r="BF31" s="1010">
        <f t="shared" si="16"/>
        <v>0</v>
      </c>
      <c r="BG31" s="1010"/>
      <c r="BH31" s="1010"/>
      <c r="BI31" s="1011"/>
      <c r="BJ31" s="1009"/>
      <c r="BK31" s="1010">
        <f t="shared" si="17"/>
        <v>0</v>
      </c>
      <c r="BL31" s="1010"/>
      <c r="BM31" s="1010"/>
      <c r="BN31" s="1011"/>
      <c r="BO31" s="1009"/>
      <c r="BP31" s="1010">
        <f t="shared" si="18"/>
        <v>0</v>
      </c>
      <c r="BQ31" s="1010"/>
      <c r="BR31" s="1010"/>
      <c r="BS31" s="1011"/>
      <c r="BT31" s="1009"/>
      <c r="BU31" s="1010">
        <f t="shared" si="19"/>
        <v>0</v>
      </c>
      <c r="BV31" s="1010"/>
      <c r="BW31" s="1013">
        <f t="shared" si="1"/>
        <v>0</v>
      </c>
      <c r="BX31" s="1013">
        <f t="shared" si="4"/>
        <v>0</v>
      </c>
      <c r="BY31" s="1014">
        <f t="shared" si="5"/>
        <v>0</v>
      </c>
      <c r="BZ31" s="809">
        <f t="shared" si="2"/>
        <v>0</v>
      </c>
      <c r="CA31" s="809">
        <f t="shared" si="3"/>
        <v>0</v>
      </c>
    </row>
    <row r="32" spans="1:79" s="633" customFormat="1" ht="15" customHeight="1">
      <c r="A32" s="321" t="s">
        <v>712</v>
      </c>
      <c r="B32" s="321"/>
      <c r="C32" s="321"/>
      <c r="D32" s="1009"/>
      <c r="E32" s="1010">
        <f t="shared" si="6"/>
        <v>0</v>
      </c>
      <c r="F32" s="1010"/>
      <c r="G32" s="1010"/>
      <c r="H32" s="1011"/>
      <c r="I32" s="1009"/>
      <c r="J32" s="1010">
        <f t="shared" si="7"/>
        <v>0</v>
      </c>
      <c r="K32" s="1010"/>
      <c r="L32" s="1010"/>
      <c r="M32" s="1011"/>
      <c r="N32" s="1009"/>
      <c r="O32" s="1010">
        <f t="shared" si="8"/>
        <v>0</v>
      </c>
      <c r="P32" s="1010"/>
      <c r="Q32" s="1010"/>
      <c r="R32" s="1011"/>
      <c r="S32" s="1009"/>
      <c r="T32" s="1010">
        <f t="shared" si="9"/>
        <v>0</v>
      </c>
      <c r="U32" s="1010"/>
      <c r="V32" s="1010"/>
      <c r="W32" s="1011"/>
      <c r="X32" s="1009"/>
      <c r="Y32" s="1010">
        <f t="shared" si="10"/>
        <v>0</v>
      </c>
      <c r="Z32" s="1010"/>
      <c r="AA32" s="1010"/>
      <c r="AB32" s="1011"/>
      <c r="AC32" s="1009"/>
      <c r="AD32" s="1010">
        <f t="shared" si="11"/>
        <v>0</v>
      </c>
      <c r="AE32" s="1010"/>
      <c r="AF32" s="1010"/>
      <c r="AG32" s="1011"/>
      <c r="AH32" s="1009"/>
      <c r="AI32" s="1010">
        <f t="shared" si="12"/>
        <v>0</v>
      </c>
      <c r="AJ32" s="1010"/>
      <c r="AK32" s="1010"/>
      <c r="AL32" s="432"/>
      <c r="AM32" s="1012"/>
      <c r="AN32" s="1010">
        <f t="shared" si="13"/>
        <v>0</v>
      </c>
      <c r="AO32" s="1010"/>
      <c r="AP32" s="1010"/>
      <c r="AQ32" s="1010"/>
      <c r="AR32" s="1010"/>
      <c r="AS32" s="1010"/>
      <c r="AT32" s="1011"/>
      <c r="AU32" s="1009"/>
      <c r="AV32" s="1010">
        <f t="shared" si="14"/>
        <v>0</v>
      </c>
      <c r="AW32" s="1010"/>
      <c r="AX32" s="1010"/>
      <c r="AY32" s="1011"/>
      <c r="AZ32" s="1009"/>
      <c r="BA32" s="1010">
        <f t="shared" si="15"/>
        <v>0</v>
      </c>
      <c r="BB32" s="1010"/>
      <c r="BC32" s="1010"/>
      <c r="BD32" s="1011"/>
      <c r="BE32" s="1009"/>
      <c r="BF32" s="1010">
        <f t="shared" si="16"/>
        <v>0</v>
      </c>
      <c r="BG32" s="1010"/>
      <c r="BH32" s="1010"/>
      <c r="BI32" s="1011"/>
      <c r="BJ32" s="1009"/>
      <c r="BK32" s="1010">
        <f t="shared" si="17"/>
        <v>0</v>
      </c>
      <c r="BL32" s="1010"/>
      <c r="BM32" s="1010"/>
      <c r="BN32" s="1011"/>
      <c r="BO32" s="1009"/>
      <c r="BP32" s="1010">
        <f t="shared" si="18"/>
        <v>0</v>
      </c>
      <c r="BQ32" s="1010"/>
      <c r="BR32" s="1010"/>
      <c r="BS32" s="1011"/>
      <c r="BT32" s="1009"/>
      <c r="BU32" s="1010">
        <f t="shared" si="19"/>
        <v>0</v>
      </c>
      <c r="BV32" s="1010"/>
      <c r="BW32" s="1013">
        <f t="shared" si="1"/>
        <v>0</v>
      </c>
      <c r="BX32" s="1013">
        <f t="shared" si="4"/>
        <v>0</v>
      </c>
      <c r="BY32" s="1014">
        <f t="shared" si="5"/>
        <v>0</v>
      </c>
      <c r="BZ32" s="809">
        <f t="shared" si="2"/>
        <v>0</v>
      </c>
      <c r="CA32" s="809">
        <f t="shared" si="3"/>
        <v>0</v>
      </c>
    </row>
    <row r="33" spans="1:79" s="633" customFormat="1" ht="15" customHeight="1">
      <c r="A33" s="321" t="s">
        <v>713</v>
      </c>
      <c r="B33" s="321"/>
      <c r="C33" s="321"/>
      <c r="D33" s="1009"/>
      <c r="E33" s="1010">
        <f t="shared" si="6"/>
        <v>0</v>
      </c>
      <c r="F33" s="1010"/>
      <c r="G33" s="1010"/>
      <c r="H33" s="1011"/>
      <c r="I33" s="1009"/>
      <c r="J33" s="1010">
        <f t="shared" si="7"/>
        <v>0</v>
      </c>
      <c r="K33" s="1010"/>
      <c r="L33" s="1010"/>
      <c r="M33" s="1011"/>
      <c r="N33" s="1009"/>
      <c r="O33" s="1010">
        <f t="shared" si="8"/>
        <v>0</v>
      </c>
      <c r="P33" s="1010"/>
      <c r="Q33" s="1010"/>
      <c r="R33" s="1011"/>
      <c r="S33" s="1009"/>
      <c r="T33" s="1010">
        <f t="shared" si="9"/>
        <v>0</v>
      </c>
      <c r="U33" s="1010"/>
      <c r="V33" s="1010"/>
      <c r="W33" s="1011"/>
      <c r="X33" s="1009"/>
      <c r="Y33" s="1010">
        <f t="shared" si="10"/>
        <v>0</v>
      </c>
      <c r="Z33" s="1010"/>
      <c r="AA33" s="1010"/>
      <c r="AB33" s="1011"/>
      <c r="AC33" s="1009"/>
      <c r="AD33" s="1010">
        <f t="shared" si="11"/>
        <v>0</v>
      </c>
      <c r="AE33" s="1010"/>
      <c r="AF33" s="1010"/>
      <c r="AG33" s="1011"/>
      <c r="AH33" s="1009"/>
      <c r="AI33" s="1010">
        <f t="shared" si="12"/>
        <v>0</v>
      </c>
      <c r="AJ33" s="1010"/>
      <c r="AK33" s="1010"/>
      <c r="AL33" s="432"/>
      <c r="AM33" s="1012"/>
      <c r="AN33" s="1010">
        <f t="shared" si="13"/>
        <v>0</v>
      </c>
      <c r="AO33" s="1010"/>
      <c r="AP33" s="1010"/>
      <c r="AQ33" s="1010"/>
      <c r="AR33" s="1010"/>
      <c r="AS33" s="1010"/>
      <c r="AT33" s="1011"/>
      <c r="AU33" s="1009"/>
      <c r="AV33" s="1010">
        <f t="shared" si="14"/>
        <v>0</v>
      </c>
      <c r="AW33" s="1010"/>
      <c r="AX33" s="1010"/>
      <c r="AY33" s="1011"/>
      <c r="AZ33" s="1009"/>
      <c r="BA33" s="1010">
        <f t="shared" si="15"/>
        <v>0</v>
      </c>
      <c r="BB33" s="1010"/>
      <c r="BC33" s="1010"/>
      <c r="BD33" s="1011"/>
      <c r="BE33" s="1009"/>
      <c r="BF33" s="1010">
        <f t="shared" si="16"/>
        <v>0</v>
      </c>
      <c r="BG33" s="1010"/>
      <c r="BH33" s="1010"/>
      <c r="BI33" s="1011"/>
      <c r="BJ33" s="1009"/>
      <c r="BK33" s="1010">
        <f t="shared" si="17"/>
        <v>0</v>
      </c>
      <c r="BL33" s="1010"/>
      <c r="BM33" s="1010"/>
      <c r="BN33" s="1011"/>
      <c r="BO33" s="1009"/>
      <c r="BP33" s="1010">
        <f t="shared" si="18"/>
        <v>0</v>
      </c>
      <c r="BQ33" s="1010"/>
      <c r="BR33" s="1010"/>
      <c r="BS33" s="1011"/>
      <c r="BT33" s="1009"/>
      <c r="BU33" s="1010">
        <f t="shared" si="19"/>
        <v>0</v>
      </c>
      <c r="BV33" s="1010"/>
      <c r="BW33" s="1013">
        <f t="shared" si="1"/>
        <v>0</v>
      </c>
      <c r="BX33" s="1013">
        <f t="shared" si="4"/>
        <v>0</v>
      </c>
      <c r="BY33" s="1014">
        <f t="shared" si="5"/>
        <v>0</v>
      </c>
      <c r="BZ33" s="809">
        <f t="shared" si="2"/>
        <v>0</v>
      </c>
      <c r="CA33" s="809">
        <f t="shared" si="3"/>
        <v>0</v>
      </c>
    </row>
    <row r="34" spans="1:79" s="633" customFormat="1" ht="15" customHeight="1">
      <c r="A34" s="380" t="s">
        <v>714</v>
      </c>
      <c r="B34" s="321"/>
      <c r="C34" s="321"/>
      <c r="D34" s="1009"/>
      <c r="E34" s="1010"/>
      <c r="F34" s="1010"/>
      <c r="G34" s="1010"/>
      <c r="H34" s="1011"/>
      <c r="I34" s="1009"/>
      <c r="J34" s="1010"/>
      <c r="K34" s="1010"/>
      <c r="L34" s="1010"/>
      <c r="M34" s="1011"/>
      <c r="N34" s="1009"/>
      <c r="O34" s="1010"/>
      <c r="P34" s="1010"/>
      <c r="Q34" s="1010"/>
      <c r="R34" s="1011"/>
      <c r="S34" s="1009"/>
      <c r="T34" s="1010"/>
      <c r="U34" s="1010"/>
      <c r="V34" s="1010"/>
      <c r="W34" s="1011"/>
      <c r="X34" s="1009"/>
      <c r="Y34" s="1010"/>
      <c r="Z34" s="1010"/>
      <c r="AA34" s="1010"/>
      <c r="AB34" s="1011"/>
      <c r="AC34" s="1009"/>
      <c r="AD34" s="1010"/>
      <c r="AE34" s="1010"/>
      <c r="AF34" s="1010"/>
      <c r="AG34" s="1011"/>
      <c r="AH34" s="1009"/>
      <c r="AI34" s="1010"/>
      <c r="AJ34" s="1010"/>
      <c r="AK34" s="1010"/>
      <c r="AL34" s="432"/>
      <c r="AM34" s="1012"/>
      <c r="AN34" s="1010"/>
      <c r="AO34" s="1010"/>
      <c r="AP34" s="1010"/>
      <c r="AQ34" s="1010"/>
      <c r="AR34" s="1010"/>
      <c r="AS34" s="1010"/>
      <c r="AT34" s="1011"/>
      <c r="AU34" s="1009"/>
      <c r="AV34" s="1010"/>
      <c r="AW34" s="1010"/>
      <c r="AX34" s="1010"/>
      <c r="AY34" s="1011"/>
      <c r="AZ34" s="1009"/>
      <c r="BA34" s="1010"/>
      <c r="BB34" s="1010"/>
      <c r="BC34" s="1010"/>
      <c r="BD34" s="1011"/>
      <c r="BE34" s="1009"/>
      <c r="BF34" s="1010"/>
      <c r="BG34" s="1010"/>
      <c r="BH34" s="1010"/>
      <c r="BI34" s="1011"/>
      <c r="BJ34" s="1009"/>
      <c r="BK34" s="1010"/>
      <c r="BL34" s="1010"/>
      <c r="BM34" s="1010"/>
      <c r="BN34" s="1011"/>
      <c r="BO34" s="1009"/>
      <c r="BP34" s="1010"/>
      <c r="BQ34" s="1010"/>
      <c r="BR34" s="1010"/>
      <c r="BS34" s="1011"/>
      <c r="BT34" s="1009"/>
      <c r="BU34" s="1010"/>
      <c r="BV34" s="1010"/>
      <c r="BW34" s="1013">
        <f t="shared" si="1"/>
        <v>0</v>
      </c>
      <c r="BX34" s="1013"/>
      <c r="BY34" s="1014"/>
      <c r="BZ34" s="809">
        <f t="shared" si="2"/>
        <v>0</v>
      </c>
      <c r="CA34" s="809">
        <f t="shared" si="3"/>
        <v>0</v>
      </c>
    </row>
    <row r="35" spans="1:79" s="519" customFormat="1" ht="15" customHeight="1">
      <c r="A35" s="966" t="s">
        <v>715</v>
      </c>
      <c r="B35" s="1016">
        <f t="shared" ref="B35:AO35" si="20">SUM(B17:B33)</f>
        <v>17972000</v>
      </c>
      <c r="C35" s="1016">
        <f t="shared" si="20"/>
        <v>20886814</v>
      </c>
      <c r="D35" s="1016">
        <f t="shared" si="20"/>
        <v>8400000</v>
      </c>
      <c r="E35" s="1017">
        <f t="shared" si="20"/>
        <v>40387970</v>
      </c>
      <c r="F35" s="1016">
        <f t="shared" si="20"/>
        <v>39836611</v>
      </c>
      <c r="G35" s="1016">
        <f t="shared" si="20"/>
        <v>20651497</v>
      </c>
      <c r="H35" s="1016">
        <f t="shared" si="20"/>
        <v>21165487</v>
      </c>
      <c r="I35" s="1016">
        <f t="shared" si="20"/>
        <v>11600000</v>
      </c>
      <c r="J35" s="1017">
        <f t="shared" si="20"/>
        <v>46362846</v>
      </c>
      <c r="K35" s="1016">
        <f t="shared" si="20"/>
        <v>45899226</v>
      </c>
      <c r="L35" s="1016">
        <f t="shared" si="20"/>
        <v>98258976</v>
      </c>
      <c r="M35" s="1016">
        <f t="shared" si="20"/>
        <v>109541319</v>
      </c>
      <c r="N35" s="1016">
        <f t="shared" si="20"/>
        <v>18535806</v>
      </c>
      <c r="O35" s="1017">
        <f t="shared" si="20"/>
        <v>146094456</v>
      </c>
      <c r="P35" s="1016">
        <f t="shared" si="20"/>
        <v>143597844</v>
      </c>
      <c r="Q35" s="1016">
        <f t="shared" si="20"/>
        <v>37668032</v>
      </c>
      <c r="R35" s="1016">
        <f t="shared" si="20"/>
        <v>43701520</v>
      </c>
      <c r="S35" s="1016">
        <f t="shared" si="20"/>
        <v>7700000</v>
      </c>
      <c r="T35" s="1017">
        <f t="shared" si="20"/>
        <v>59049506</v>
      </c>
      <c r="U35" s="1016">
        <f t="shared" si="20"/>
        <v>58024591</v>
      </c>
      <c r="V35" s="1016">
        <f t="shared" si="20"/>
        <v>56088583</v>
      </c>
      <c r="W35" s="1016">
        <f t="shared" si="20"/>
        <v>57579890</v>
      </c>
      <c r="X35" s="1016">
        <f t="shared" si="20"/>
        <v>11600000</v>
      </c>
      <c r="Y35" s="1017">
        <f t="shared" si="20"/>
        <v>83154966</v>
      </c>
      <c r="Z35" s="1016">
        <f t="shared" si="20"/>
        <v>81930534</v>
      </c>
      <c r="AA35" s="1016">
        <f t="shared" si="20"/>
        <v>33587377</v>
      </c>
      <c r="AB35" s="1016">
        <f t="shared" si="20"/>
        <v>35090407</v>
      </c>
      <c r="AC35" s="1016">
        <f t="shared" si="20"/>
        <v>7100000</v>
      </c>
      <c r="AD35" s="1017">
        <f t="shared" si="20"/>
        <v>49217666</v>
      </c>
      <c r="AE35" s="1016">
        <f t="shared" si="20"/>
        <v>48240893</v>
      </c>
      <c r="AF35" s="1016">
        <f t="shared" si="20"/>
        <v>35605636</v>
      </c>
      <c r="AG35" s="1016">
        <f t="shared" si="20"/>
        <v>38936113</v>
      </c>
      <c r="AH35" s="1016">
        <f t="shared" si="20"/>
        <v>9500000</v>
      </c>
      <c r="AI35" s="1017">
        <f t="shared" si="20"/>
        <v>68300245</v>
      </c>
      <c r="AJ35" s="1016">
        <f t="shared" si="20"/>
        <v>67766755</v>
      </c>
      <c r="AK35" s="1016">
        <f t="shared" si="20"/>
        <v>31550000</v>
      </c>
      <c r="AL35" s="1016">
        <f t="shared" si="20"/>
        <v>33788840</v>
      </c>
      <c r="AM35" s="1016">
        <f t="shared" si="20"/>
        <v>0</v>
      </c>
      <c r="AN35" s="1017">
        <f t="shared" si="20"/>
        <v>14581081</v>
      </c>
      <c r="AO35" s="1016">
        <f t="shared" si="20"/>
        <v>14581081</v>
      </c>
      <c r="AP35" s="1017"/>
      <c r="AQ35" s="1017">
        <v>48021691</v>
      </c>
      <c r="AR35" s="1017">
        <f>SUM(AR19:AR33)</f>
        <v>46362414</v>
      </c>
      <c r="AS35" s="1016">
        <f t="shared" ref="AS35:CA35" si="21">SUM(AS17:AS33)</f>
        <v>53761244</v>
      </c>
      <c r="AT35" s="1016">
        <f t="shared" si="21"/>
        <v>55131196</v>
      </c>
      <c r="AU35" s="1016">
        <f t="shared" si="21"/>
        <v>13800000</v>
      </c>
      <c r="AV35" s="1017">
        <f t="shared" si="21"/>
        <v>91747205</v>
      </c>
      <c r="AW35" s="1016">
        <f t="shared" si="21"/>
        <v>90825521</v>
      </c>
      <c r="AX35" s="1016">
        <f t="shared" si="21"/>
        <v>55035956</v>
      </c>
      <c r="AY35" s="1016">
        <f t="shared" si="21"/>
        <v>57237070</v>
      </c>
      <c r="AZ35" s="1016">
        <f t="shared" si="21"/>
        <v>18200000</v>
      </c>
      <c r="BA35" s="1017">
        <f t="shared" si="21"/>
        <v>96117793</v>
      </c>
      <c r="BB35" s="1016">
        <f t="shared" si="21"/>
        <v>95007385</v>
      </c>
      <c r="BC35" s="1016">
        <f t="shared" si="21"/>
        <v>88383570</v>
      </c>
      <c r="BD35" s="1016">
        <f t="shared" si="21"/>
        <v>92692564</v>
      </c>
      <c r="BE35" s="1016">
        <f t="shared" si="21"/>
        <v>9700000</v>
      </c>
      <c r="BF35" s="1017">
        <f t="shared" si="21"/>
        <v>113035950</v>
      </c>
      <c r="BG35" s="1016">
        <f t="shared" si="21"/>
        <v>111204355</v>
      </c>
      <c r="BH35" s="1016">
        <f t="shared" si="21"/>
        <v>6100000</v>
      </c>
      <c r="BI35" s="1016">
        <f t="shared" si="21"/>
        <v>6499656</v>
      </c>
      <c r="BJ35" s="1016">
        <f t="shared" si="21"/>
        <v>1200000</v>
      </c>
      <c r="BK35" s="1017">
        <f t="shared" si="21"/>
        <v>10132795</v>
      </c>
      <c r="BL35" s="1016">
        <f t="shared" si="21"/>
        <v>9959387</v>
      </c>
      <c r="BM35" s="1016">
        <f t="shared" si="21"/>
        <v>102202544</v>
      </c>
      <c r="BN35" s="1016">
        <f t="shared" si="21"/>
        <v>105232666</v>
      </c>
      <c r="BO35" s="1016">
        <f t="shared" si="21"/>
        <v>21100000</v>
      </c>
      <c r="BP35" s="1017">
        <f t="shared" si="21"/>
        <v>148127148</v>
      </c>
      <c r="BQ35" s="1016">
        <f t="shared" si="21"/>
        <v>145866560</v>
      </c>
      <c r="BR35" s="1016">
        <f t="shared" si="21"/>
        <v>38377417</v>
      </c>
      <c r="BS35" s="1016">
        <f t="shared" si="21"/>
        <v>23506830</v>
      </c>
      <c r="BT35" s="1016">
        <f t="shared" si="21"/>
        <v>15663000</v>
      </c>
      <c r="BU35" s="1017">
        <f t="shared" si="21"/>
        <v>47193355</v>
      </c>
      <c r="BV35" s="1016">
        <f t="shared" si="21"/>
        <v>47166779</v>
      </c>
      <c r="BW35" s="1016">
        <f t="shared" si="21"/>
        <v>675242832</v>
      </c>
      <c r="BX35" s="1016">
        <f t="shared" si="21"/>
        <v>700990372</v>
      </c>
      <c r="BY35" s="1016">
        <f t="shared" si="21"/>
        <v>154098806</v>
      </c>
      <c r="BZ35" s="1016">
        <f t="shared" si="21"/>
        <v>1061524673</v>
      </c>
      <c r="CA35" s="1016">
        <f t="shared" si="21"/>
        <v>1046269936</v>
      </c>
    </row>
    <row r="36" spans="1:79" s="415" customFormat="1" ht="15" hidden="1" customHeight="1">
      <c r="A36" s="633" t="s">
        <v>715</v>
      </c>
      <c r="B36" s="633"/>
      <c r="C36" s="633"/>
      <c r="D36" s="1018"/>
      <c r="E36" s="1010"/>
      <c r="F36" s="1010"/>
      <c r="G36" s="633"/>
      <c r="H36" s="1011"/>
      <c r="I36" s="1018"/>
      <c r="J36" s="1010"/>
      <c r="K36" s="1010"/>
      <c r="L36" s="633"/>
      <c r="M36" s="633"/>
      <c r="N36" s="1018"/>
      <c r="O36" s="1010"/>
      <c r="P36" s="1010"/>
      <c r="Q36" s="633"/>
      <c r="R36" s="1019"/>
      <c r="S36" s="1018"/>
      <c r="T36" s="1010"/>
      <c r="U36" s="1010"/>
      <c r="V36" s="633"/>
      <c r="W36" s="633"/>
      <c r="X36" s="1018"/>
      <c r="Y36" s="1010"/>
      <c r="Z36" s="1010"/>
      <c r="AA36" s="633"/>
      <c r="AB36" s="633"/>
      <c r="AC36" s="1018"/>
      <c r="AD36" s="1010"/>
      <c r="AE36" s="1010"/>
      <c r="AF36" s="633"/>
      <c r="AG36" s="633"/>
      <c r="AH36" s="1018"/>
      <c r="AI36" s="1010"/>
      <c r="AJ36" s="1010"/>
      <c r="AK36" s="633"/>
      <c r="AL36" s="633"/>
      <c r="AM36" s="1018"/>
      <c r="AN36" s="1010"/>
      <c r="AO36" s="1010"/>
      <c r="AP36" s="1010"/>
      <c r="AQ36" s="1010"/>
      <c r="AR36" s="1010"/>
      <c r="AS36" s="633"/>
      <c r="AT36" s="633"/>
      <c r="AU36" s="1018"/>
      <c r="AV36" s="1010"/>
      <c r="AW36" s="1010"/>
      <c r="AX36" s="633"/>
      <c r="AY36" s="1019"/>
      <c r="AZ36" s="1018"/>
      <c r="BA36" s="1010"/>
      <c r="BB36" s="1010"/>
      <c r="BC36" s="1011"/>
      <c r="BD36" s="633"/>
      <c r="BE36" s="1018"/>
      <c r="BF36" s="1010"/>
      <c r="BG36" s="1010"/>
      <c r="BH36" s="633"/>
      <c r="BI36" s="633"/>
      <c r="BJ36" s="1018"/>
      <c r="BK36" s="1010"/>
      <c r="BL36" s="1010"/>
      <c r="BM36" s="633"/>
      <c r="BN36" s="633"/>
      <c r="BO36" s="1018"/>
      <c r="BP36" s="1010"/>
      <c r="BQ36" s="1010"/>
      <c r="BR36" s="633"/>
      <c r="BS36" s="633"/>
      <c r="BT36" s="1018"/>
      <c r="BU36" s="1010"/>
      <c r="BV36" s="1010"/>
      <c r="BW36" s="1013"/>
      <c r="BX36" s="1013"/>
      <c r="BY36" s="1014"/>
      <c r="BZ36" s="1020"/>
      <c r="CA36" s="1015"/>
    </row>
    <row r="37" spans="1:79" s="447" customFormat="1" ht="15" customHeight="1">
      <c r="A37" s="432" t="s">
        <v>26</v>
      </c>
      <c r="B37" s="432">
        <v>1270000</v>
      </c>
      <c r="C37" s="432">
        <v>1270000</v>
      </c>
      <c r="D37" s="1012">
        <v>-1270000</v>
      </c>
      <c r="E37" s="1010">
        <f t="shared" ref="E37:E42" si="22">SUM(C37+D37)</f>
        <v>0</v>
      </c>
      <c r="F37" s="1010"/>
      <c r="G37" s="432">
        <v>4445000</v>
      </c>
      <c r="H37" s="432">
        <v>6992900</v>
      </c>
      <c r="I37" s="1012">
        <v>-2198923</v>
      </c>
      <c r="J37" s="1010">
        <f t="shared" ref="J37:J42" si="23">SUM(H37+I37)</f>
        <v>4793977</v>
      </c>
      <c r="K37" s="1010">
        <v>4793977</v>
      </c>
      <c r="L37" s="432"/>
      <c r="M37" s="1011">
        <v>959062</v>
      </c>
      <c r="N37" s="1012">
        <v>43990</v>
      </c>
      <c r="O37" s="1010">
        <v>1092087</v>
      </c>
      <c r="P37" s="1010">
        <v>1092087</v>
      </c>
      <c r="Q37" s="432"/>
      <c r="R37" s="589"/>
      <c r="S37" s="1012">
        <v>14990</v>
      </c>
      <c r="T37" s="1010">
        <v>97090</v>
      </c>
      <c r="U37" s="1010">
        <v>97090</v>
      </c>
      <c r="V37" s="432"/>
      <c r="W37" s="432"/>
      <c r="X37" s="1012"/>
      <c r="Y37" s="1010">
        <f t="shared" ref="Y37:Y42" si="24">SUM(W37+X37)</f>
        <v>0</v>
      </c>
      <c r="Z37" s="1010"/>
      <c r="AA37" s="432"/>
      <c r="AB37" s="432"/>
      <c r="AC37" s="1012"/>
      <c r="AD37" s="1010">
        <v>1591759</v>
      </c>
      <c r="AE37" s="1010">
        <v>1591397</v>
      </c>
      <c r="AF37" s="432"/>
      <c r="AG37" s="432">
        <v>14478000</v>
      </c>
      <c r="AH37" s="1012">
        <v>23599</v>
      </c>
      <c r="AI37" s="1010">
        <v>14508403</v>
      </c>
      <c r="AJ37" s="1010">
        <v>14508403</v>
      </c>
      <c r="AK37" s="432"/>
      <c r="AL37" s="432"/>
      <c r="AM37" s="1012"/>
      <c r="AN37" s="1010">
        <f t="shared" ref="AN37:AN42" si="25">SUM(AL37+AM37)</f>
        <v>0</v>
      </c>
      <c r="AO37" s="1010"/>
      <c r="AP37" s="1010"/>
      <c r="AQ37" s="1010">
        <v>383448</v>
      </c>
      <c r="AR37" s="1010">
        <v>383448</v>
      </c>
      <c r="AS37" s="432">
        <v>7620000</v>
      </c>
      <c r="AT37" s="432">
        <v>7620000</v>
      </c>
      <c r="AU37" s="1012">
        <v>-7620000</v>
      </c>
      <c r="AV37" s="1010">
        <f t="shared" ref="AV37:AV42" si="26">SUM(AT37+AU37)</f>
        <v>0</v>
      </c>
      <c r="AW37" s="1010"/>
      <c r="AX37" s="432"/>
      <c r="AY37" s="667">
        <v>240309</v>
      </c>
      <c r="AZ37" s="1009">
        <v>61722</v>
      </c>
      <c r="BA37" s="1010">
        <v>393151</v>
      </c>
      <c r="BB37" s="1010">
        <v>393151</v>
      </c>
      <c r="BC37" s="432"/>
      <c r="BD37" s="432">
        <v>194818</v>
      </c>
      <c r="BE37" s="1012"/>
      <c r="BF37" s="1010">
        <f>SUM(BD37+BE37)</f>
        <v>194818</v>
      </c>
      <c r="BG37" s="1010"/>
      <c r="BH37" s="432">
        <v>7620000</v>
      </c>
      <c r="BI37" s="432">
        <v>7620000</v>
      </c>
      <c r="BJ37" s="1012">
        <v>-1349896</v>
      </c>
      <c r="BK37" s="1010">
        <f t="shared" ref="BK37:BK42" si="27">SUM(BI37+BJ37)</f>
        <v>6270104</v>
      </c>
      <c r="BL37" s="1010">
        <v>6270104</v>
      </c>
      <c r="BM37" s="432"/>
      <c r="BN37" s="667">
        <v>2095500</v>
      </c>
      <c r="BO37" s="1012">
        <v>71676</v>
      </c>
      <c r="BP37" s="1010">
        <v>2104341</v>
      </c>
      <c r="BQ37" s="1010">
        <v>2104341</v>
      </c>
      <c r="BR37" s="432"/>
      <c r="BS37" s="432"/>
      <c r="BT37" s="1012">
        <v>52185</v>
      </c>
      <c r="BU37" s="1010">
        <f>SUM(BS37+BT37)</f>
        <v>52185</v>
      </c>
      <c r="BV37" s="1010">
        <v>52185</v>
      </c>
      <c r="BW37" s="1013">
        <f t="shared" ref="BW37:BX44" si="28">SUM(B37+G37+L37+Q37+V37+AA37+AF37+AK37+AS37+AX37+BC37+BH37+BM37+BR37)</f>
        <v>20955000</v>
      </c>
      <c r="BX37" s="1013">
        <f t="shared" si="28"/>
        <v>41470589</v>
      </c>
      <c r="BY37" s="1014">
        <f t="shared" ref="BY37:BY44" si="29">SUM(I37+N37+S37+X37+AC37+AH37+AM37+AU37+AZ37+BE37+BJ37+BO37+BT37+D37)</f>
        <v>-12170657</v>
      </c>
      <c r="BZ37" s="1015">
        <f t="shared" ref="BZ37:CA43" si="30">SUM(E37+J37+O37+T37+Y37+AD37+AI37+AN37+AV37+BA37+BF37+BK37+BP37+BU37+AQ37)</f>
        <v>31481363</v>
      </c>
      <c r="CA37" s="1015">
        <f t="shared" si="30"/>
        <v>31286183</v>
      </c>
    </row>
    <row r="38" spans="1:79" s="415" customFormat="1" ht="15" customHeight="1">
      <c r="A38" s="633" t="s">
        <v>28</v>
      </c>
      <c r="B38" s="633">
        <v>1905000</v>
      </c>
      <c r="C38" s="633">
        <v>1905000</v>
      </c>
      <c r="D38" s="1018">
        <v>-541274</v>
      </c>
      <c r="E38" s="1010">
        <f t="shared" si="22"/>
        <v>1363726</v>
      </c>
      <c r="F38" s="1010">
        <v>1363726</v>
      </c>
      <c r="G38" s="633">
        <v>3810000</v>
      </c>
      <c r="H38" s="633">
        <v>19621500</v>
      </c>
      <c r="I38" s="1018">
        <v>-3810000</v>
      </c>
      <c r="J38" s="1010">
        <f t="shared" si="23"/>
        <v>15811500</v>
      </c>
      <c r="K38" s="1010">
        <v>15811500</v>
      </c>
      <c r="L38" s="633"/>
      <c r="M38" s="633"/>
      <c r="N38" s="1018"/>
      <c r="O38" s="1010">
        <f>SUM(M38+N38)</f>
        <v>0</v>
      </c>
      <c r="P38" s="1010"/>
      <c r="Q38" s="633"/>
      <c r="R38" s="633"/>
      <c r="S38" s="1018"/>
      <c r="T38" s="1010">
        <f>SUM(R38+S38)</f>
        <v>0</v>
      </c>
      <c r="U38" s="1010"/>
      <c r="V38" s="633">
        <v>27940000</v>
      </c>
      <c r="W38" s="633">
        <v>27940000</v>
      </c>
      <c r="X38" s="1018">
        <v>-27940000</v>
      </c>
      <c r="Y38" s="1010">
        <f t="shared" si="24"/>
        <v>0</v>
      </c>
      <c r="Z38" s="1010"/>
      <c r="AA38" s="633">
        <v>36830000</v>
      </c>
      <c r="AB38" s="633">
        <v>46137086</v>
      </c>
      <c r="AC38" s="1018">
        <v>-36830000</v>
      </c>
      <c r="AD38" s="1010">
        <v>11546034</v>
      </c>
      <c r="AE38" s="1010">
        <v>11546034</v>
      </c>
      <c r="AF38" s="633">
        <v>27940000</v>
      </c>
      <c r="AG38" s="633">
        <v>27940000</v>
      </c>
      <c r="AH38" s="1018">
        <v>-27873960</v>
      </c>
      <c r="AI38" s="1010">
        <f>SUM(AG38+AH38)</f>
        <v>66040</v>
      </c>
      <c r="AJ38" s="1010"/>
      <c r="AK38" s="633"/>
      <c r="AL38" s="633"/>
      <c r="AM38" s="1018"/>
      <c r="AN38" s="1010">
        <f t="shared" si="25"/>
        <v>0</v>
      </c>
      <c r="AO38" s="1010"/>
      <c r="AP38" s="1010"/>
      <c r="AQ38" s="1010">
        <v>0</v>
      </c>
      <c r="AR38" s="1010"/>
      <c r="AS38" s="633">
        <v>67310000</v>
      </c>
      <c r="AT38" s="633">
        <v>67310000</v>
      </c>
      <c r="AU38" s="1018">
        <v>-67310000</v>
      </c>
      <c r="AV38" s="1010">
        <f t="shared" si="26"/>
        <v>0</v>
      </c>
      <c r="AW38" s="1010"/>
      <c r="AX38" s="633">
        <v>27432000</v>
      </c>
      <c r="AY38" s="633">
        <v>0</v>
      </c>
      <c r="AZ38" s="1009"/>
      <c r="BA38" s="1010">
        <f>SUM(AY38+AZ38)</f>
        <v>0</v>
      </c>
      <c r="BB38" s="1010"/>
      <c r="BC38" s="633"/>
      <c r="BD38" s="633"/>
      <c r="BE38" s="1018"/>
      <c r="BF38" s="1010">
        <v>473980</v>
      </c>
      <c r="BG38" s="1010">
        <v>473980</v>
      </c>
      <c r="BH38" s="633">
        <v>3810000</v>
      </c>
      <c r="BI38" s="633">
        <v>3810000</v>
      </c>
      <c r="BJ38" s="1018"/>
      <c r="BK38" s="1010">
        <f t="shared" si="27"/>
        <v>3810000</v>
      </c>
      <c r="BL38" s="1010">
        <v>2448293</v>
      </c>
      <c r="BM38" s="633">
        <v>38735000</v>
      </c>
      <c r="BN38" s="633">
        <v>38735000</v>
      </c>
      <c r="BO38" s="1018">
        <v>-38735000</v>
      </c>
      <c r="BP38" s="1010">
        <f>SUM(BN38+BO38)</f>
        <v>0</v>
      </c>
      <c r="BQ38" s="1010"/>
      <c r="BR38" s="633"/>
      <c r="BS38" s="633">
        <v>18539000</v>
      </c>
      <c r="BT38" s="1018"/>
      <c r="BU38" s="1010">
        <v>21556897</v>
      </c>
      <c r="BV38" s="1010">
        <v>21556897</v>
      </c>
      <c r="BW38" s="1013">
        <f t="shared" si="28"/>
        <v>235712000</v>
      </c>
      <c r="BX38" s="1013">
        <f t="shared" si="28"/>
        <v>251937586</v>
      </c>
      <c r="BY38" s="1014">
        <f t="shared" si="29"/>
        <v>-203040234</v>
      </c>
      <c r="BZ38" s="1015">
        <f t="shared" si="30"/>
        <v>54628177</v>
      </c>
      <c r="CA38" s="1015">
        <f t="shared" si="30"/>
        <v>53200430</v>
      </c>
    </row>
    <row r="39" spans="1:79" s="415" customFormat="1" ht="15" hidden="1" customHeight="1">
      <c r="A39" s="321" t="s">
        <v>30</v>
      </c>
      <c r="B39" s="321"/>
      <c r="C39" s="321"/>
      <c r="D39" s="1021"/>
      <c r="E39" s="1010">
        <f t="shared" si="22"/>
        <v>0</v>
      </c>
      <c r="F39" s="1010"/>
      <c r="G39" s="321"/>
      <c r="H39" s="321"/>
      <c r="I39" s="1021"/>
      <c r="J39" s="1010">
        <f t="shared" si="23"/>
        <v>0</v>
      </c>
      <c r="K39" s="1010"/>
      <c r="L39" s="321"/>
      <c r="M39" s="321"/>
      <c r="N39" s="1021"/>
      <c r="O39" s="1010">
        <f>SUM(M39+N39)</f>
        <v>0</v>
      </c>
      <c r="P39" s="1010"/>
      <c r="Q39" s="321"/>
      <c r="R39" s="321"/>
      <c r="S39" s="1021"/>
      <c r="T39" s="1010">
        <f>SUM(R39+S39)</f>
        <v>0</v>
      </c>
      <c r="U39" s="1010"/>
      <c r="V39" s="321"/>
      <c r="W39" s="321"/>
      <c r="X39" s="1021"/>
      <c r="Y39" s="1010">
        <f t="shared" si="24"/>
        <v>0</v>
      </c>
      <c r="Z39" s="1010"/>
      <c r="AA39" s="321"/>
      <c r="AB39" s="321"/>
      <c r="AC39" s="1021"/>
      <c r="AD39" s="1010">
        <f>SUM(AB39+AC39)</f>
        <v>0</v>
      </c>
      <c r="AE39" s="1010"/>
      <c r="AF39" s="321"/>
      <c r="AG39" s="321"/>
      <c r="AH39" s="1021"/>
      <c r="AI39" s="1010">
        <f>SUM(AG39+AH39)</f>
        <v>0</v>
      </c>
      <c r="AJ39" s="1010"/>
      <c r="AK39" s="321"/>
      <c r="AL39" s="321"/>
      <c r="AM39" s="1021"/>
      <c r="AN39" s="1010">
        <f t="shared" si="25"/>
        <v>0</v>
      </c>
      <c r="AO39" s="1010"/>
      <c r="AP39" s="1010"/>
      <c r="AQ39" s="1010"/>
      <c r="AR39" s="1010"/>
      <c r="AS39" s="321"/>
      <c r="AT39" s="321"/>
      <c r="AU39" s="1021"/>
      <c r="AV39" s="1010">
        <f t="shared" si="26"/>
        <v>0</v>
      </c>
      <c r="AW39" s="1010"/>
      <c r="AX39" s="321"/>
      <c r="AY39" s="321"/>
      <c r="AZ39" s="1021"/>
      <c r="BA39" s="1010">
        <f>SUM(AY39+AZ39)</f>
        <v>0</v>
      </c>
      <c r="BB39" s="1010"/>
      <c r="BC39" s="321"/>
      <c r="BD39" s="321"/>
      <c r="BE39" s="1021"/>
      <c r="BF39" s="1010">
        <f>SUM(BD39+BE39)</f>
        <v>0</v>
      </c>
      <c r="BG39" s="1010"/>
      <c r="BH39" s="321"/>
      <c r="BI39" s="321"/>
      <c r="BJ39" s="1021"/>
      <c r="BK39" s="1010">
        <f t="shared" si="27"/>
        <v>0</v>
      </c>
      <c r="BL39" s="1010"/>
      <c r="BM39" s="321"/>
      <c r="BN39" s="321"/>
      <c r="BO39" s="1021"/>
      <c r="BP39" s="1010">
        <f>SUM(BN39+BO39)</f>
        <v>0</v>
      </c>
      <c r="BQ39" s="1010"/>
      <c r="BR39" s="321"/>
      <c r="BS39" s="321"/>
      <c r="BT39" s="1021"/>
      <c r="BU39" s="1010">
        <f>SUM(BS39+BT39)</f>
        <v>0</v>
      </c>
      <c r="BV39" s="1010"/>
      <c r="BW39" s="1013">
        <f t="shared" si="28"/>
        <v>0</v>
      </c>
      <c r="BX39" s="1013">
        <f t="shared" si="28"/>
        <v>0</v>
      </c>
      <c r="BY39" s="1014">
        <f t="shared" si="29"/>
        <v>0</v>
      </c>
      <c r="BZ39" s="1015">
        <f t="shared" si="30"/>
        <v>0</v>
      </c>
      <c r="CA39" s="1015">
        <f t="shared" si="30"/>
        <v>0</v>
      </c>
    </row>
    <row r="40" spans="1:79" s="415" customFormat="1" ht="15" customHeight="1">
      <c r="A40" s="321" t="s">
        <v>716</v>
      </c>
      <c r="B40" s="321"/>
      <c r="C40" s="321"/>
      <c r="D40" s="1021"/>
      <c r="E40" s="1010">
        <f t="shared" si="22"/>
        <v>0</v>
      </c>
      <c r="F40" s="1010"/>
      <c r="G40" s="321"/>
      <c r="H40" s="321"/>
      <c r="I40" s="1021"/>
      <c r="J40" s="1010">
        <f t="shared" si="23"/>
        <v>0</v>
      </c>
      <c r="K40" s="1010"/>
      <c r="L40" s="321"/>
      <c r="M40" s="321"/>
      <c r="N40" s="1021"/>
      <c r="O40" s="1010">
        <f>SUM(M40+N40)</f>
        <v>0</v>
      </c>
      <c r="P40" s="1010"/>
      <c r="Q40" s="321"/>
      <c r="R40" s="321"/>
      <c r="S40" s="1021"/>
      <c r="T40" s="1010">
        <f>SUM(R40+S40)</f>
        <v>0</v>
      </c>
      <c r="U40" s="1010"/>
      <c r="V40" s="321"/>
      <c r="W40" s="321"/>
      <c r="X40" s="1021"/>
      <c r="Y40" s="1010">
        <f t="shared" si="24"/>
        <v>0</v>
      </c>
      <c r="Z40" s="1010"/>
      <c r="AA40" s="321"/>
      <c r="AB40" s="321"/>
      <c r="AC40" s="1021"/>
      <c r="AD40" s="1010">
        <f>SUM(AB40+AC40)</f>
        <v>0</v>
      </c>
      <c r="AE40" s="1010"/>
      <c r="AF40" s="321"/>
      <c r="AG40" s="321"/>
      <c r="AH40" s="1021"/>
      <c r="AI40" s="1010">
        <f>SUM(AG40+AH40)</f>
        <v>0</v>
      </c>
      <c r="AJ40" s="1010"/>
      <c r="AK40" s="321"/>
      <c r="AL40" s="321"/>
      <c r="AM40" s="1021"/>
      <c r="AN40" s="1010">
        <f t="shared" si="25"/>
        <v>0</v>
      </c>
      <c r="AO40" s="1010"/>
      <c r="AP40" s="1010"/>
      <c r="AQ40" s="1010">
        <v>0</v>
      </c>
      <c r="AR40" s="1010"/>
      <c r="AS40" s="321"/>
      <c r="AT40" s="321"/>
      <c r="AU40" s="1021"/>
      <c r="AV40" s="1010">
        <f t="shared" si="26"/>
        <v>0</v>
      </c>
      <c r="AW40" s="1010"/>
      <c r="AX40" s="321"/>
      <c r="AY40" s="321"/>
      <c r="AZ40" s="1021"/>
      <c r="BA40" s="1010">
        <f>SUM(AY40+AZ40)</f>
        <v>0</v>
      </c>
      <c r="BB40" s="1010"/>
      <c r="BC40" s="321"/>
      <c r="BD40" s="321"/>
      <c r="BE40" s="1021"/>
      <c r="BF40" s="1010">
        <f>SUM(BD40+BE40)</f>
        <v>0</v>
      </c>
      <c r="BG40" s="1010"/>
      <c r="BH40" s="321"/>
      <c r="BI40" s="321"/>
      <c r="BJ40" s="1021"/>
      <c r="BK40" s="1010">
        <f t="shared" si="27"/>
        <v>0</v>
      </c>
      <c r="BL40" s="1010"/>
      <c r="BM40" s="321"/>
      <c r="BN40" s="321"/>
      <c r="BO40" s="1021"/>
      <c r="BP40" s="1010">
        <f>SUM(BN40+BO40)</f>
        <v>0</v>
      </c>
      <c r="BQ40" s="1010"/>
      <c r="BR40" s="321"/>
      <c r="BS40" s="321"/>
      <c r="BT40" s="1021"/>
      <c r="BU40" s="1010">
        <f>SUM(BS40+BT40)</f>
        <v>0</v>
      </c>
      <c r="BV40" s="1010"/>
      <c r="BW40" s="1013">
        <f t="shared" si="28"/>
        <v>0</v>
      </c>
      <c r="BX40" s="1013">
        <f t="shared" si="28"/>
        <v>0</v>
      </c>
      <c r="BY40" s="1014">
        <f t="shared" si="29"/>
        <v>0</v>
      </c>
      <c r="BZ40" s="1015">
        <f t="shared" si="30"/>
        <v>0</v>
      </c>
      <c r="CA40" s="1015">
        <f t="shared" si="30"/>
        <v>0</v>
      </c>
    </row>
    <row r="41" spans="1:79" s="415" customFormat="1" ht="15" customHeight="1">
      <c r="A41" s="321" t="s">
        <v>717</v>
      </c>
      <c r="B41" s="321"/>
      <c r="C41" s="321"/>
      <c r="D41" s="1021"/>
      <c r="E41" s="1010">
        <f t="shared" si="22"/>
        <v>0</v>
      </c>
      <c r="F41" s="1010"/>
      <c r="G41" s="321"/>
      <c r="H41" s="321"/>
      <c r="I41" s="1021"/>
      <c r="J41" s="1010">
        <f t="shared" si="23"/>
        <v>0</v>
      </c>
      <c r="K41" s="1010"/>
      <c r="L41" s="321"/>
      <c r="M41" s="321"/>
      <c r="N41" s="1021"/>
      <c r="O41" s="1010">
        <f>SUM(M41+N41)</f>
        <v>0</v>
      </c>
      <c r="P41" s="1010"/>
      <c r="Q41" s="321"/>
      <c r="R41" s="321"/>
      <c r="S41" s="1021"/>
      <c r="T41" s="1010">
        <f>SUM(R41+S41)</f>
        <v>0</v>
      </c>
      <c r="U41" s="1010"/>
      <c r="V41" s="321"/>
      <c r="W41" s="321"/>
      <c r="X41" s="1021"/>
      <c r="Y41" s="1010">
        <f t="shared" si="24"/>
        <v>0</v>
      </c>
      <c r="Z41" s="1010"/>
      <c r="AA41" s="321"/>
      <c r="AB41" s="321"/>
      <c r="AC41" s="1021"/>
      <c r="AD41" s="1010">
        <f>SUM(AB41+AC41)</f>
        <v>0</v>
      </c>
      <c r="AE41" s="1010"/>
      <c r="AF41" s="321"/>
      <c r="AG41" s="321"/>
      <c r="AH41" s="1021"/>
      <c r="AI41" s="1010">
        <f>SUM(AG41+AH41)</f>
        <v>0</v>
      </c>
      <c r="AJ41" s="1010"/>
      <c r="AK41" s="321"/>
      <c r="AL41" s="321"/>
      <c r="AM41" s="1021"/>
      <c r="AN41" s="1010">
        <f t="shared" si="25"/>
        <v>0</v>
      </c>
      <c r="AO41" s="1010"/>
      <c r="AP41" s="1010"/>
      <c r="AQ41" s="1010">
        <v>0</v>
      </c>
      <c r="AR41" s="1010"/>
      <c r="AS41" s="321"/>
      <c r="AT41" s="321"/>
      <c r="AU41" s="1021"/>
      <c r="AV41" s="1010">
        <f t="shared" si="26"/>
        <v>0</v>
      </c>
      <c r="AW41" s="1010"/>
      <c r="AX41" s="321"/>
      <c r="AY41" s="321"/>
      <c r="AZ41" s="1021"/>
      <c r="BA41" s="1010">
        <f>SUM(AY41+AZ41)</f>
        <v>0</v>
      </c>
      <c r="BB41" s="1010"/>
      <c r="BC41" s="321"/>
      <c r="BD41" s="321"/>
      <c r="BE41" s="1021"/>
      <c r="BF41" s="1010">
        <f>SUM(BD41+BE41)</f>
        <v>0</v>
      </c>
      <c r="BG41" s="1010"/>
      <c r="BH41" s="321"/>
      <c r="BI41" s="321"/>
      <c r="BJ41" s="1021"/>
      <c r="BK41" s="1010">
        <f t="shared" si="27"/>
        <v>0</v>
      </c>
      <c r="BL41" s="1010"/>
      <c r="BM41" s="321"/>
      <c r="BN41" s="321"/>
      <c r="BO41" s="1021"/>
      <c r="BP41" s="1010">
        <f>SUM(BN41+BO41)</f>
        <v>0</v>
      </c>
      <c r="BQ41" s="1010"/>
      <c r="BR41" s="321"/>
      <c r="BS41" s="321"/>
      <c r="BT41" s="1021"/>
      <c r="BU41" s="1010">
        <f>SUM(BS41+BT41)</f>
        <v>0</v>
      </c>
      <c r="BV41" s="1010"/>
      <c r="BW41" s="1013">
        <f t="shared" si="28"/>
        <v>0</v>
      </c>
      <c r="BX41" s="1013">
        <f t="shared" si="28"/>
        <v>0</v>
      </c>
      <c r="BY41" s="1014">
        <f t="shared" si="29"/>
        <v>0</v>
      </c>
      <c r="BZ41" s="1015">
        <f t="shared" si="30"/>
        <v>0</v>
      </c>
      <c r="CA41" s="1015">
        <f t="shared" si="30"/>
        <v>0</v>
      </c>
    </row>
    <row r="42" spans="1:79" s="415" customFormat="1" ht="15" customHeight="1">
      <c r="A42" s="321" t="s">
        <v>718</v>
      </c>
      <c r="B42" s="321"/>
      <c r="C42" s="321"/>
      <c r="D42" s="1021"/>
      <c r="E42" s="1010">
        <f t="shared" si="22"/>
        <v>0</v>
      </c>
      <c r="F42" s="1010"/>
      <c r="G42" s="321"/>
      <c r="H42" s="321"/>
      <c r="I42" s="1021"/>
      <c r="J42" s="1010">
        <f t="shared" si="23"/>
        <v>0</v>
      </c>
      <c r="K42" s="1010"/>
      <c r="L42" s="321"/>
      <c r="M42" s="321"/>
      <c r="N42" s="1021"/>
      <c r="O42" s="1010">
        <f>SUM(M42+N42)</f>
        <v>0</v>
      </c>
      <c r="P42" s="1010"/>
      <c r="Q42" s="321"/>
      <c r="R42" s="321"/>
      <c r="S42" s="1021"/>
      <c r="T42" s="1010">
        <f>SUM(R42+S42)</f>
        <v>0</v>
      </c>
      <c r="U42" s="1010"/>
      <c r="V42" s="321"/>
      <c r="W42" s="321"/>
      <c r="X42" s="1021"/>
      <c r="Y42" s="1010">
        <f t="shared" si="24"/>
        <v>0</v>
      </c>
      <c r="Z42" s="1010"/>
      <c r="AA42" s="321"/>
      <c r="AB42" s="321"/>
      <c r="AC42" s="1021"/>
      <c r="AD42" s="1010">
        <f>SUM(AB42+AC42)</f>
        <v>0</v>
      </c>
      <c r="AE42" s="1010"/>
      <c r="AF42" s="321"/>
      <c r="AG42" s="321"/>
      <c r="AH42" s="1021"/>
      <c r="AI42" s="1010">
        <f>SUM(AG42+AH42)</f>
        <v>0</v>
      </c>
      <c r="AJ42" s="1010"/>
      <c r="AK42" s="321"/>
      <c r="AL42" s="321"/>
      <c r="AM42" s="1021"/>
      <c r="AN42" s="1010">
        <f t="shared" si="25"/>
        <v>0</v>
      </c>
      <c r="AO42" s="1010"/>
      <c r="AP42" s="1010"/>
      <c r="AQ42" s="1010">
        <v>0</v>
      </c>
      <c r="AR42" s="1010"/>
      <c r="AS42" s="321"/>
      <c r="AT42" s="321"/>
      <c r="AU42" s="1021"/>
      <c r="AV42" s="1010">
        <f t="shared" si="26"/>
        <v>0</v>
      </c>
      <c r="AW42" s="1010"/>
      <c r="AX42" s="321"/>
      <c r="AY42" s="321"/>
      <c r="AZ42" s="1021"/>
      <c r="BA42" s="1010">
        <f>SUM(AY42+AZ42)</f>
        <v>0</v>
      </c>
      <c r="BB42" s="1010"/>
      <c r="BC42" s="321"/>
      <c r="BD42" s="321"/>
      <c r="BE42" s="1021"/>
      <c r="BF42" s="1010">
        <f>SUM(BD42+BE42)</f>
        <v>0</v>
      </c>
      <c r="BG42" s="1010"/>
      <c r="BH42" s="321"/>
      <c r="BI42" s="321"/>
      <c r="BJ42" s="1021"/>
      <c r="BK42" s="1010">
        <f t="shared" si="27"/>
        <v>0</v>
      </c>
      <c r="BL42" s="1010"/>
      <c r="BM42" s="321"/>
      <c r="BN42" s="321"/>
      <c r="BO42" s="1021"/>
      <c r="BP42" s="1010">
        <f>SUM(BN42+BO42)</f>
        <v>0</v>
      </c>
      <c r="BQ42" s="1010"/>
      <c r="BR42" s="321"/>
      <c r="BS42" s="321"/>
      <c r="BT42" s="1021"/>
      <c r="BU42" s="1010">
        <f>SUM(BS42+BT42)</f>
        <v>0</v>
      </c>
      <c r="BV42" s="1010"/>
      <c r="BW42" s="1013">
        <f t="shared" si="28"/>
        <v>0</v>
      </c>
      <c r="BX42" s="1013">
        <f t="shared" si="28"/>
        <v>0</v>
      </c>
      <c r="BY42" s="1014">
        <f t="shared" si="29"/>
        <v>0</v>
      </c>
      <c r="BZ42" s="1015">
        <f t="shared" si="30"/>
        <v>0</v>
      </c>
      <c r="CA42" s="1015">
        <f t="shared" si="30"/>
        <v>0</v>
      </c>
    </row>
    <row r="43" spans="1:79" s="415" customFormat="1" ht="15" customHeight="1">
      <c r="A43" s="432" t="s">
        <v>719</v>
      </c>
      <c r="B43" s="432"/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2"/>
      <c r="AL43" s="432"/>
      <c r="AM43" s="432"/>
      <c r="AN43" s="432"/>
      <c r="AO43" s="432"/>
      <c r="AP43" s="432"/>
      <c r="AQ43" s="432">
        <v>0</v>
      </c>
      <c r="AR43" s="432"/>
      <c r="AS43" s="432"/>
      <c r="AT43" s="432"/>
      <c r="AU43" s="432"/>
      <c r="AV43" s="432"/>
      <c r="AW43" s="432"/>
      <c r="AX43" s="432"/>
      <c r="AY43" s="432"/>
      <c r="AZ43" s="432"/>
      <c r="BA43" s="432"/>
      <c r="BB43" s="432"/>
      <c r="BC43" s="432"/>
      <c r="BD43" s="432"/>
      <c r="BE43" s="432"/>
      <c r="BF43" s="432"/>
      <c r="BG43" s="432"/>
      <c r="BH43" s="432"/>
      <c r="BI43" s="432"/>
      <c r="BJ43" s="432"/>
      <c r="BK43" s="432"/>
      <c r="BL43" s="432"/>
      <c r="BM43" s="432"/>
      <c r="BN43" s="432"/>
      <c r="BO43" s="432"/>
      <c r="BP43" s="432"/>
      <c r="BQ43" s="432"/>
      <c r="BR43" s="432"/>
      <c r="BS43" s="432"/>
      <c r="BT43" s="432"/>
      <c r="BU43" s="432"/>
      <c r="BV43" s="432"/>
      <c r="BW43" s="1013">
        <f t="shared" si="28"/>
        <v>0</v>
      </c>
      <c r="BX43" s="1013">
        <f t="shared" si="28"/>
        <v>0</v>
      </c>
      <c r="BY43" s="1014">
        <f t="shared" si="29"/>
        <v>0</v>
      </c>
      <c r="BZ43" s="519">
        <f t="shared" si="30"/>
        <v>0</v>
      </c>
      <c r="CA43" s="519">
        <f t="shared" si="30"/>
        <v>0</v>
      </c>
    </row>
    <row r="44" spans="1:79" s="415" customFormat="1" ht="15" hidden="1" customHeight="1">
      <c r="A44" s="432" t="s">
        <v>720</v>
      </c>
      <c r="B44" s="432"/>
      <c r="C44" s="432"/>
      <c r="D44" s="432"/>
      <c r="E44" s="432"/>
      <c r="F44" s="432"/>
      <c r="G44" s="432"/>
      <c r="H44" s="432"/>
      <c r="I44" s="432"/>
      <c r="J44" s="432"/>
      <c r="K44" s="432"/>
      <c r="L44" s="432"/>
      <c r="M44" s="432"/>
      <c r="N44" s="432"/>
      <c r="O44" s="432"/>
      <c r="P44" s="432"/>
      <c r="Q44" s="432"/>
      <c r="R44" s="432"/>
      <c r="S44" s="432"/>
      <c r="T44" s="432"/>
      <c r="U44" s="432"/>
      <c r="V44" s="432"/>
      <c r="W44" s="432"/>
      <c r="X44" s="432"/>
      <c r="Y44" s="432"/>
      <c r="Z44" s="432"/>
      <c r="AA44" s="432"/>
      <c r="AB44" s="432"/>
      <c r="AC44" s="432"/>
      <c r="AD44" s="432"/>
      <c r="AE44" s="432"/>
      <c r="AF44" s="432"/>
      <c r="AG44" s="432"/>
      <c r="AH44" s="432"/>
      <c r="AI44" s="432"/>
      <c r="AJ44" s="432"/>
      <c r="AK44" s="432"/>
      <c r="AL44" s="432"/>
      <c r="AM44" s="432"/>
      <c r="AN44" s="432"/>
      <c r="AO44" s="432"/>
      <c r="AP44" s="432"/>
      <c r="AQ44" s="432"/>
      <c r="AR44" s="432"/>
      <c r="AS44" s="432"/>
      <c r="AT44" s="432"/>
      <c r="AU44" s="432"/>
      <c r="AV44" s="432"/>
      <c r="AW44" s="432"/>
      <c r="AX44" s="432"/>
      <c r="AY44" s="432"/>
      <c r="AZ44" s="432"/>
      <c r="BA44" s="432"/>
      <c r="BB44" s="432"/>
      <c r="BC44" s="432"/>
      <c r="BD44" s="432"/>
      <c r="BE44" s="432"/>
      <c r="BF44" s="432"/>
      <c r="BG44" s="432"/>
      <c r="BH44" s="432"/>
      <c r="BI44" s="432"/>
      <c r="BJ44" s="432"/>
      <c r="BK44" s="432"/>
      <c r="BL44" s="432"/>
      <c r="BM44" s="432"/>
      <c r="BN44" s="432"/>
      <c r="BO44" s="432"/>
      <c r="BP44" s="432"/>
      <c r="BQ44" s="432"/>
      <c r="BR44" s="432"/>
      <c r="BS44" s="432"/>
      <c r="BT44" s="432"/>
      <c r="BU44" s="432"/>
      <c r="BV44" s="432"/>
      <c r="BW44" s="1013">
        <f t="shared" si="28"/>
        <v>0</v>
      </c>
      <c r="BX44" s="1013">
        <f t="shared" si="28"/>
        <v>0</v>
      </c>
      <c r="BY44" s="1014">
        <f t="shared" si="29"/>
        <v>0</v>
      </c>
      <c r="BZ44" s="1020">
        <f>SUM(BX44+BY44)</f>
        <v>0</v>
      </c>
      <c r="CA44" s="519"/>
    </row>
    <row r="45" spans="1:79" s="519" customFormat="1" ht="15" customHeight="1">
      <c r="A45" s="1022" t="s">
        <v>722</v>
      </c>
      <c r="B45" s="1023">
        <f t="shared" ref="B45:AO45" si="31">SUM(B36:B44)</f>
        <v>3175000</v>
      </c>
      <c r="C45" s="1023">
        <f t="shared" si="31"/>
        <v>3175000</v>
      </c>
      <c r="D45" s="1023">
        <f t="shared" si="31"/>
        <v>-1811274</v>
      </c>
      <c r="E45" s="1023">
        <f t="shared" si="31"/>
        <v>1363726</v>
      </c>
      <c r="F45" s="1023">
        <f t="shared" si="31"/>
        <v>1363726</v>
      </c>
      <c r="G45" s="1023">
        <f t="shared" si="31"/>
        <v>8255000</v>
      </c>
      <c r="H45" s="1023">
        <f t="shared" si="31"/>
        <v>26614400</v>
      </c>
      <c r="I45" s="1023">
        <f t="shared" si="31"/>
        <v>-6008923</v>
      </c>
      <c r="J45" s="1023">
        <f t="shared" si="31"/>
        <v>20605477</v>
      </c>
      <c r="K45" s="1023">
        <f t="shared" si="31"/>
        <v>20605477</v>
      </c>
      <c r="L45" s="1023">
        <f t="shared" si="31"/>
        <v>0</v>
      </c>
      <c r="M45" s="1023">
        <f t="shared" si="31"/>
        <v>959062</v>
      </c>
      <c r="N45" s="1023">
        <f t="shared" si="31"/>
        <v>43990</v>
      </c>
      <c r="O45" s="1023">
        <f t="shared" si="31"/>
        <v>1092087</v>
      </c>
      <c r="P45" s="1023">
        <f t="shared" si="31"/>
        <v>1092087</v>
      </c>
      <c r="Q45" s="1023">
        <f t="shared" si="31"/>
        <v>0</v>
      </c>
      <c r="R45" s="1023">
        <f t="shared" si="31"/>
        <v>0</v>
      </c>
      <c r="S45" s="1023">
        <f t="shared" si="31"/>
        <v>14990</v>
      </c>
      <c r="T45" s="1023">
        <f t="shared" si="31"/>
        <v>97090</v>
      </c>
      <c r="U45" s="1023">
        <f t="shared" si="31"/>
        <v>97090</v>
      </c>
      <c r="V45" s="1023">
        <f t="shared" si="31"/>
        <v>27940000</v>
      </c>
      <c r="W45" s="1023">
        <f t="shared" si="31"/>
        <v>27940000</v>
      </c>
      <c r="X45" s="1023">
        <f t="shared" si="31"/>
        <v>-27940000</v>
      </c>
      <c r="Y45" s="1023">
        <f t="shared" si="31"/>
        <v>0</v>
      </c>
      <c r="Z45" s="1023">
        <f t="shared" si="31"/>
        <v>0</v>
      </c>
      <c r="AA45" s="1023">
        <f t="shared" si="31"/>
        <v>36830000</v>
      </c>
      <c r="AB45" s="1023">
        <f t="shared" si="31"/>
        <v>46137086</v>
      </c>
      <c r="AC45" s="1023">
        <f t="shared" si="31"/>
        <v>-36830000</v>
      </c>
      <c r="AD45" s="1023">
        <f t="shared" si="31"/>
        <v>13137793</v>
      </c>
      <c r="AE45" s="1023">
        <f t="shared" si="31"/>
        <v>13137431</v>
      </c>
      <c r="AF45" s="1023">
        <f t="shared" si="31"/>
        <v>27940000</v>
      </c>
      <c r="AG45" s="1023">
        <f t="shared" si="31"/>
        <v>42418000</v>
      </c>
      <c r="AH45" s="1023">
        <f t="shared" si="31"/>
        <v>-27850361</v>
      </c>
      <c r="AI45" s="1023">
        <f t="shared" si="31"/>
        <v>14574443</v>
      </c>
      <c r="AJ45" s="1023">
        <f t="shared" si="31"/>
        <v>14508403</v>
      </c>
      <c r="AK45" s="1023">
        <f t="shared" si="31"/>
        <v>0</v>
      </c>
      <c r="AL45" s="1023">
        <f t="shared" si="31"/>
        <v>0</v>
      </c>
      <c r="AM45" s="1023">
        <f t="shared" si="31"/>
        <v>0</v>
      </c>
      <c r="AN45" s="1023">
        <f t="shared" si="31"/>
        <v>0</v>
      </c>
      <c r="AO45" s="1023">
        <f t="shared" si="31"/>
        <v>0</v>
      </c>
      <c r="AP45" s="1023"/>
      <c r="AQ45" s="1023">
        <v>383448</v>
      </c>
      <c r="AR45" s="1023">
        <f t="shared" ref="AR45:CA45" si="32">SUM(AR36:AR44)</f>
        <v>383448</v>
      </c>
      <c r="AS45" s="1023">
        <f t="shared" si="32"/>
        <v>74930000</v>
      </c>
      <c r="AT45" s="1023">
        <f t="shared" si="32"/>
        <v>74930000</v>
      </c>
      <c r="AU45" s="1023">
        <f t="shared" si="32"/>
        <v>-74930000</v>
      </c>
      <c r="AV45" s="1023">
        <f t="shared" si="32"/>
        <v>0</v>
      </c>
      <c r="AW45" s="1023">
        <f t="shared" si="32"/>
        <v>0</v>
      </c>
      <c r="AX45" s="1023">
        <f t="shared" si="32"/>
        <v>27432000</v>
      </c>
      <c r="AY45" s="1023">
        <f t="shared" si="32"/>
        <v>240309</v>
      </c>
      <c r="AZ45" s="1023">
        <f t="shared" si="32"/>
        <v>61722</v>
      </c>
      <c r="BA45" s="1023">
        <f t="shared" si="32"/>
        <v>393151</v>
      </c>
      <c r="BB45" s="1023">
        <f t="shared" si="32"/>
        <v>393151</v>
      </c>
      <c r="BC45" s="1023">
        <f t="shared" si="32"/>
        <v>0</v>
      </c>
      <c r="BD45" s="1023">
        <f t="shared" si="32"/>
        <v>194818</v>
      </c>
      <c r="BE45" s="1023">
        <f t="shared" si="32"/>
        <v>0</v>
      </c>
      <c r="BF45" s="1023">
        <f t="shared" si="32"/>
        <v>668798</v>
      </c>
      <c r="BG45" s="1023">
        <f t="shared" si="32"/>
        <v>473980</v>
      </c>
      <c r="BH45" s="1023">
        <f t="shared" si="32"/>
        <v>11430000</v>
      </c>
      <c r="BI45" s="1023">
        <f t="shared" si="32"/>
        <v>11430000</v>
      </c>
      <c r="BJ45" s="1023">
        <f t="shared" si="32"/>
        <v>-1349896</v>
      </c>
      <c r="BK45" s="1023">
        <f t="shared" si="32"/>
        <v>10080104</v>
      </c>
      <c r="BL45" s="1023">
        <f t="shared" si="32"/>
        <v>8718397</v>
      </c>
      <c r="BM45" s="1023">
        <f t="shared" si="32"/>
        <v>38735000</v>
      </c>
      <c r="BN45" s="1023">
        <f t="shared" si="32"/>
        <v>40830500</v>
      </c>
      <c r="BO45" s="1023">
        <f t="shared" si="32"/>
        <v>-38663324</v>
      </c>
      <c r="BP45" s="1023">
        <f t="shared" si="32"/>
        <v>2104341</v>
      </c>
      <c r="BQ45" s="1023">
        <f t="shared" si="32"/>
        <v>2104341</v>
      </c>
      <c r="BR45" s="1023">
        <f t="shared" si="32"/>
        <v>0</v>
      </c>
      <c r="BS45" s="1023">
        <f t="shared" si="32"/>
        <v>18539000</v>
      </c>
      <c r="BT45" s="1023">
        <f t="shared" si="32"/>
        <v>52185</v>
      </c>
      <c r="BU45" s="1023">
        <f t="shared" si="32"/>
        <v>21609082</v>
      </c>
      <c r="BV45" s="1023">
        <f t="shared" si="32"/>
        <v>21609082</v>
      </c>
      <c r="BW45" s="1023">
        <f t="shared" si="32"/>
        <v>256667000</v>
      </c>
      <c r="BX45" s="1023">
        <f t="shared" si="32"/>
        <v>293408175</v>
      </c>
      <c r="BY45" s="1023">
        <f t="shared" si="32"/>
        <v>-215210891</v>
      </c>
      <c r="BZ45" s="1023">
        <f t="shared" si="32"/>
        <v>86109540</v>
      </c>
      <c r="CA45" s="1023">
        <f t="shared" si="32"/>
        <v>84486613</v>
      </c>
    </row>
    <row r="46" spans="1:79" s="519" customFormat="1" ht="15" customHeight="1">
      <c r="A46" s="966" t="s">
        <v>723</v>
      </c>
      <c r="B46" s="1024">
        <f t="shared" ref="B46:AO46" si="33">B45+B35</f>
        <v>21147000</v>
      </c>
      <c r="C46" s="1024">
        <f t="shared" si="33"/>
        <v>24061814</v>
      </c>
      <c r="D46" s="1024">
        <f t="shared" si="33"/>
        <v>6588726</v>
      </c>
      <c r="E46" s="1023">
        <f t="shared" si="33"/>
        <v>41751696</v>
      </c>
      <c r="F46" s="1024">
        <f t="shared" si="33"/>
        <v>41200337</v>
      </c>
      <c r="G46" s="1024">
        <f t="shared" si="33"/>
        <v>28906497</v>
      </c>
      <c r="H46" s="1024">
        <f t="shared" si="33"/>
        <v>47779887</v>
      </c>
      <c r="I46" s="1024">
        <f t="shared" si="33"/>
        <v>5591077</v>
      </c>
      <c r="J46" s="1023">
        <f t="shared" si="33"/>
        <v>66968323</v>
      </c>
      <c r="K46" s="1024">
        <f t="shared" si="33"/>
        <v>66504703</v>
      </c>
      <c r="L46" s="1024">
        <f t="shared" si="33"/>
        <v>98258976</v>
      </c>
      <c r="M46" s="1024">
        <f t="shared" si="33"/>
        <v>110500381</v>
      </c>
      <c r="N46" s="1024">
        <f t="shared" si="33"/>
        <v>18579796</v>
      </c>
      <c r="O46" s="1023">
        <f t="shared" si="33"/>
        <v>147186543</v>
      </c>
      <c r="P46" s="1024">
        <f t="shared" si="33"/>
        <v>144689931</v>
      </c>
      <c r="Q46" s="1024">
        <f t="shared" si="33"/>
        <v>37668032</v>
      </c>
      <c r="R46" s="1024">
        <f t="shared" si="33"/>
        <v>43701520</v>
      </c>
      <c r="S46" s="1024">
        <f t="shared" si="33"/>
        <v>7714990</v>
      </c>
      <c r="T46" s="1023">
        <f t="shared" si="33"/>
        <v>59146596</v>
      </c>
      <c r="U46" s="1024">
        <f t="shared" si="33"/>
        <v>58121681</v>
      </c>
      <c r="V46" s="1024">
        <f t="shared" si="33"/>
        <v>84028583</v>
      </c>
      <c r="W46" s="1024">
        <f t="shared" si="33"/>
        <v>85519890</v>
      </c>
      <c r="X46" s="1024">
        <f t="shared" si="33"/>
        <v>-16340000</v>
      </c>
      <c r="Y46" s="1023">
        <f t="shared" si="33"/>
        <v>83154966</v>
      </c>
      <c r="Z46" s="1024">
        <f t="shared" si="33"/>
        <v>81930534</v>
      </c>
      <c r="AA46" s="1024">
        <f t="shared" si="33"/>
        <v>70417377</v>
      </c>
      <c r="AB46" s="1024">
        <f t="shared" si="33"/>
        <v>81227493</v>
      </c>
      <c r="AC46" s="1024">
        <f t="shared" si="33"/>
        <v>-29730000</v>
      </c>
      <c r="AD46" s="1023">
        <f t="shared" si="33"/>
        <v>62355459</v>
      </c>
      <c r="AE46" s="1024">
        <f t="shared" si="33"/>
        <v>61378324</v>
      </c>
      <c r="AF46" s="1024">
        <f t="shared" si="33"/>
        <v>63545636</v>
      </c>
      <c r="AG46" s="1024">
        <f t="shared" si="33"/>
        <v>81354113</v>
      </c>
      <c r="AH46" s="1024">
        <f t="shared" si="33"/>
        <v>-18350361</v>
      </c>
      <c r="AI46" s="1023">
        <f t="shared" si="33"/>
        <v>82874688</v>
      </c>
      <c r="AJ46" s="1024">
        <f t="shared" si="33"/>
        <v>82275158</v>
      </c>
      <c r="AK46" s="1024">
        <f t="shared" si="33"/>
        <v>31550000</v>
      </c>
      <c r="AL46" s="1024">
        <f t="shared" si="33"/>
        <v>33788840</v>
      </c>
      <c r="AM46" s="1024">
        <f t="shared" si="33"/>
        <v>0</v>
      </c>
      <c r="AN46" s="1023">
        <f t="shared" si="33"/>
        <v>14581081</v>
      </c>
      <c r="AO46" s="1023">
        <f t="shared" si="33"/>
        <v>14581081</v>
      </c>
      <c r="AP46" s="1023"/>
      <c r="AQ46" s="1023">
        <v>48405139</v>
      </c>
      <c r="AR46" s="1023">
        <f t="shared" ref="AR46:CA46" si="34">AR45+AR35</f>
        <v>46745862</v>
      </c>
      <c r="AS46" s="1024">
        <f t="shared" si="34"/>
        <v>128691244</v>
      </c>
      <c r="AT46" s="1024">
        <f t="shared" si="34"/>
        <v>130061196</v>
      </c>
      <c r="AU46" s="1024">
        <f t="shared" si="34"/>
        <v>-61130000</v>
      </c>
      <c r="AV46" s="1023">
        <f t="shared" si="34"/>
        <v>91747205</v>
      </c>
      <c r="AW46" s="1024">
        <f t="shared" si="34"/>
        <v>90825521</v>
      </c>
      <c r="AX46" s="1024">
        <f t="shared" si="34"/>
        <v>82467956</v>
      </c>
      <c r="AY46" s="1024">
        <f t="shared" si="34"/>
        <v>57477379</v>
      </c>
      <c r="AZ46" s="1024">
        <f t="shared" si="34"/>
        <v>18261722</v>
      </c>
      <c r="BA46" s="1023">
        <f t="shared" si="34"/>
        <v>96510944</v>
      </c>
      <c r="BB46" s="1024">
        <f t="shared" si="34"/>
        <v>95400536</v>
      </c>
      <c r="BC46" s="1024">
        <f t="shared" si="34"/>
        <v>88383570</v>
      </c>
      <c r="BD46" s="1024">
        <f t="shared" si="34"/>
        <v>92887382</v>
      </c>
      <c r="BE46" s="1024">
        <f t="shared" si="34"/>
        <v>9700000</v>
      </c>
      <c r="BF46" s="1023">
        <f t="shared" si="34"/>
        <v>113704748</v>
      </c>
      <c r="BG46" s="1024">
        <f t="shared" si="34"/>
        <v>111678335</v>
      </c>
      <c r="BH46" s="1024">
        <f t="shared" si="34"/>
        <v>17530000</v>
      </c>
      <c r="BI46" s="1024">
        <f t="shared" si="34"/>
        <v>17929656</v>
      </c>
      <c r="BJ46" s="1024">
        <f t="shared" si="34"/>
        <v>-149896</v>
      </c>
      <c r="BK46" s="1023">
        <f t="shared" si="34"/>
        <v>20212899</v>
      </c>
      <c r="BL46" s="1024">
        <f t="shared" si="34"/>
        <v>18677784</v>
      </c>
      <c r="BM46" s="1024">
        <f t="shared" si="34"/>
        <v>140937544</v>
      </c>
      <c r="BN46" s="1024">
        <f t="shared" si="34"/>
        <v>146063166</v>
      </c>
      <c r="BO46" s="1024">
        <f t="shared" si="34"/>
        <v>-17563324</v>
      </c>
      <c r="BP46" s="1023">
        <f t="shared" si="34"/>
        <v>150231489</v>
      </c>
      <c r="BQ46" s="1024">
        <f t="shared" si="34"/>
        <v>147970901</v>
      </c>
      <c r="BR46" s="1024">
        <f t="shared" si="34"/>
        <v>38377417</v>
      </c>
      <c r="BS46" s="1024">
        <f t="shared" si="34"/>
        <v>42045830</v>
      </c>
      <c r="BT46" s="1024">
        <f t="shared" si="34"/>
        <v>15715185</v>
      </c>
      <c r="BU46" s="1023">
        <f t="shared" si="34"/>
        <v>68802437</v>
      </c>
      <c r="BV46" s="1024">
        <f t="shared" si="34"/>
        <v>68775861</v>
      </c>
      <c r="BW46" s="1024">
        <f t="shared" si="34"/>
        <v>931909832</v>
      </c>
      <c r="BX46" s="1024">
        <f t="shared" si="34"/>
        <v>994398547</v>
      </c>
      <c r="BY46" s="1024">
        <f t="shared" si="34"/>
        <v>-61112085</v>
      </c>
      <c r="BZ46" s="1024">
        <f t="shared" si="34"/>
        <v>1147634213</v>
      </c>
      <c r="CA46" s="1024">
        <f t="shared" si="34"/>
        <v>1130756549</v>
      </c>
    </row>
    <row r="47" spans="1:79" s="415" customFormat="1" ht="15" hidden="1" customHeight="1">
      <c r="A47" s="321" t="s">
        <v>723</v>
      </c>
      <c r="B47" s="321"/>
      <c r="C47" s="321"/>
      <c r="D47" s="321"/>
      <c r="E47" s="321"/>
      <c r="F47" s="321"/>
      <c r="G47" s="321"/>
      <c r="H47" s="321"/>
      <c r="I47" s="321"/>
      <c r="J47" s="321"/>
      <c r="K47" s="321"/>
      <c r="L47" s="321"/>
      <c r="M47" s="321"/>
      <c r="N47" s="321"/>
      <c r="O47" s="321"/>
      <c r="P47" s="321"/>
      <c r="Q47" s="321"/>
      <c r="R47" s="321"/>
      <c r="S47" s="321"/>
      <c r="T47" s="321"/>
      <c r="U47" s="321"/>
      <c r="V47" s="321"/>
      <c r="W47" s="321"/>
      <c r="X47" s="321"/>
      <c r="Y47" s="321"/>
      <c r="Z47" s="321"/>
      <c r="AA47" s="321"/>
      <c r="AB47" s="321"/>
      <c r="AC47" s="321"/>
      <c r="AD47" s="321"/>
      <c r="AE47" s="321"/>
      <c r="AF47" s="321"/>
      <c r="AG47" s="321"/>
      <c r="AH47" s="321"/>
      <c r="AI47" s="321"/>
      <c r="AJ47" s="321"/>
      <c r="AK47" s="321"/>
      <c r="AL47" s="321"/>
      <c r="AM47" s="321"/>
      <c r="AN47" s="321"/>
      <c r="AO47" s="321"/>
      <c r="AP47" s="321"/>
      <c r="AQ47" s="321"/>
      <c r="AR47" s="321"/>
      <c r="AS47" s="321"/>
      <c r="AT47" s="321"/>
      <c r="AU47" s="321"/>
      <c r="AV47" s="321"/>
      <c r="AW47" s="321"/>
      <c r="AX47" s="321"/>
      <c r="AY47" s="321"/>
      <c r="AZ47" s="321"/>
      <c r="BA47" s="321"/>
      <c r="BB47" s="321"/>
      <c r="BC47" s="321"/>
      <c r="BD47" s="321"/>
      <c r="BE47" s="321"/>
      <c r="BF47" s="321"/>
      <c r="BG47" s="321"/>
      <c r="BH47" s="321"/>
      <c r="BI47" s="321"/>
      <c r="BJ47" s="321"/>
      <c r="BK47" s="321"/>
      <c r="BL47" s="321"/>
      <c r="BM47" s="321"/>
      <c r="BN47" s="321"/>
      <c r="BO47" s="321"/>
      <c r="BP47" s="321"/>
      <c r="BQ47" s="321"/>
      <c r="BR47" s="321"/>
      <c r="BS47" s="321"/>
      <c r="BT47" s="321"/>
      <c r="BU47" s="321"/>
      <c r="BV47" s="321"/>
      <c r="BW47" s="1013">
        <f t="shared" ref="BW47:BX54" si="35">SUM(B47+G47+L47+Q47+V47+AA47+AF47+AK47+AS47+AX47+BC47+BH47+BM47+BR47)</f>
        <v>0</v>
      </c>
      <c r="BX47" s="1013">
        <f t="shared" si="35"/>
        <v>0</v>
      </c>
      <c r="BY47" s="1014">
        <f>SUM(I47+N47+S47+X47+AC47+AH47+AM47+AU47+AZ47+BE47+BJ47+BO47+BT47)</f>
        <v>0</v>
      </c>
      <c r="BZ47" s="1020">
        <f t="shared" ref="BZ47:BZ54" si="36">SUM(BX47+BY47)</f>
        <v>0</v>
      </c>
      <c r="CA47" s="519"/>
    </row>
    <row r="48" spans="1:79" s="415" customFormat="1" ht="15" hidden="1" customHeight="1">
      <c r="A48" s="321" t="s">
        <v>724</v>
      </c>
      <c r="B48" s="321"/>
      <c r="C48" s="321"/>
      <c r="D48" s="321"/>
      <c r="E48" s="321"/>
      <c r="F48" s="321"/>
      <c r="G48" s="321"/>
      <c r="H48" s="321"/>
      <c r="I48" s="321"/>
      <c r="J48" s="321"/>
      <c r="K48" s="321"/>
      <c r="L48" s="321"/>
      <c r="M48" s="321"/>
      <c r="N48" s="321"/>
      <c r="O48" s="321"/>
      <c r="P48" s="321"/>
      <c r="Q48" s="321"/>
      <c r="R48" s="321"/>
      <c r="S48" s="321"/>
      <c r="T48" s="321"/>
      <c r="U48" s="321"/>
      <c r="V48" s="321"/>
      <c r="W48" s="321"/>
      <c r="X48" s="321"/>
      <c r="Y48" s="321"/>
      <c r="Z48" s="321"/>
      <c r="AA48" s="321"/>
      <c r="AB48" s="321"/>
      <c r="AC48" s="321"/>
      <c r="AD48" s="321"/>
      <c r="AE48" s="321"/>
      <c r="AF48" s="321"/>
      <c r="AG48" s="321"/>
      <c r="AH48" s="321"/>
      <c r="AI48" s="321"/>
      <c r="AJ48" s="321"/>
      <c r="AK48" s="321"/>
      <c r="AL48" s="321"/>
      <c r="AM48" s="321"/>
      <c r="AN48" s="321"/>
      <c r="AO48" s="321"/>
      <c r="AP48" s="321"/>
      <c r="AQ48" s="321"/>
      <c r="AR48" s="321"/>
      <c r="AS48" s="321"/>
      <c r="AT48" s="321"/>
      <c r="AU48" s="321"/>
      <c r="AV48" s="321"/>
      <c r="AW48" s="321"/>
      <c r="AX48" s="321"/>
      <c r="AY48" s="321"/>
      <c r="AZ48" s="321"/>
      <c r="BA48" s="321"/>
      <c r="BB48" s="321"/>
      <c r="BC48" s="321"/>
      <c r="BD48" s="321"/>
      <c r="BE48" s="321"/>
      <c r="BF48" s="321"/>
      <c r="BG48" s="321"/>
      <c r="BH48" s="321"/>
      <c r="BI48" s="321"/>
      <c r="BJ48" s="321"/>
      <c r="BK48" s="321"/>
      <c r="BL48" s="321"/>
      <c r="BM48" s="321"/>
      <c r="BN48" s="321"/>
      <c r="BO48" s="321"/>
      <c r="BP48" s="321"/>
      <c r="BQ48" s="321"/>
      <c r="BR48" s="321"/>
      <c r="BS48" s="321"/>
      <c r="BT48" s="321"/>
      <c r="BU48" s="321"/>
      <c r="BV48" s="321"/>
      <c r="BW48" s="1013">
        <f t="shared" si="35"/>
        <v>0</v>
      </c>
      <c r="BX48" s="1013">
        <f t="shared" si="35"/>
        <v>0</v>
      </c>
      <c r="BY48" s="1025">
        <f>SUM(I48+N48+S48+X48+AC48+AH48+AM48+AU48+AZ48+BE48+BJ48+BO48+BT48)</f>
        <v>0</v>
      </c>
      <c r="BZ48" s="1020">
        <f t="shared" si="36"/>
        <v>0</v>
      </c>
      <c r="CA48" s="519"/>
    </row>
    <row r="49" spans="1:79" s="519" customFormat="1" ht="15" hidden="1" customHeight="1">
      <c r="A49" s="321" t="s">
        <v>725</v>
      </c>
      <c r="B49" s="321"/>
      <c r="C49" s="321"/>
      <c r="D49" s="321"/>
      <c r="E49" s="321"/>
      <c r="F49" s="321"/>
      <c r="G49" s="321"/>
      <c r="H49" s="321"/>
      <c r="I49" s="321"/>
      <c r="J49" s="321"/>
      <c r="K49" s="321"/>
      <c r="L49" s="321"/>
      <c r="M49" s="321"/>
      <c r="N49" s="321"/>
      <c r="O49" s="321"/>
      <c r="P49" s="321"/>
      <c r="Q49" s="321"/>
      <c r="R49" s="321"/>
      <c r="S49" s="321"/>
      <c r="T49" s="321"/>
      <c r="U49" s="321"/>
      <c r="V49" s="321"/>
      <c r="W49" s="321"/>
      <c r="X49" s="321"/>
      <c r="Y49" s="321"/>
      <c r="Z49" s="321"/>
      <c r="AA49" s="321"/>
      <c r="AB49" s="321"/>
      <c r="AC49" s="321"/>
      <c r="AD49" s="321"/>
      <c r="AE49" s="321"/>
      <c r="AF49" s="321"/>
      <c r="AG49" s="321"/>
      <c r="AH49" s="321"/>
      <c r="AI49" s="321"/>
      <c r="AJ49" s="321"/>
      <c r="AK49" s="321"/>
      <c r="AL49" s="321"/>
      <c r="AM49" s="321"/>
      <c r="AN49" s="321"/>
      <c r="AO49" s="321"/>
      <c r="AP49" s="321"/>
      <c r="AQ49" s="321"/>
      <c r="AR49" s="321"/>
      <c r="AS49" s="321"/>
      <c r="AT49" s="321"/>
      <c r="AU49" s="321"/>
      <c r="AV49" s="321"/>
      <c r="AW49" s="321"/>
      <c r="AX49" s="321"/>
      <c r="AY49" s="321"/>
      <c r="AZ49" s="321"/>
      <c r="BA49" s="321"/>
      <c r="BB49" s="321"/>
      <c r="BC49" s="321"/>
      <c r="BD49" s="321"/>
      <c r="BE49" s="321"/>
      <c r="BF49" s="321"/>
      <c r="BG49" s="321"/>
      <c r="BH49" s="321"/>
      <c r="BI49" s="321"/>
      <c r="BJ49" s="321"/>
      <c r="BK49" s="321"/>
      <c r="BL49" s="321"/>
      <c r="BM49" s="321"/>
      <c r="BN49" s="321"/>
      <c r="BO49" s="321"/>
      <c r="BP49" s="321"/>
      <c r="BQ49" s="321"/>
      <c r="BR49" s="321"/>
      <c r="BS49" s="321"/>
      <c r="BT49" s="321"/>
      <c r="BU49" s="321"/>
      <c r="BV49" s="321"/>
      <c r="BW49" s="1013">
        <f t="shared" si="35"/>
        <v>0</v>
      </c>
      <c r="BX49" s="1013">
        <f t="shared" si="35"/>
        <v>0</v>
      </c>
      <c r="BY49" s="1014">
        <f>SUM(I49+N49+S49+X49+AC49+AH49+AM49+AU49+AZ49+BE49+BJ49+BO49+BT49+D49)</f>
        <v>0</v>
      </c>
      <c r="BZ49" s="1020">
        <f t="shared" si="36"/>
        <v>0</v>
      </c>
    </row>
    <row r="50" spans="1:79" s="519" customFormat="1" ht="15" hidden="1" customHeight="1">
      <c r="A50" s="321" t="s">
        <v>726</v>
      </c>
      <c r="B50" s="321"/>
      <c r="C50" s="321"/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1"/>
      <c r="P50" s="321"/>
      <c r="Q50" s="321"/>
      <c r="R50" s="321"/>
      <c r="S50" s="321"/>
      <c r="T50" s="321"/>
      <c r="U50" s="321"/>
      <c r="V50" s="321"/>
      <c r="W50" s="321"/>
      <c r="X50" s="321"/>
      <c r="Y50" s="321"/>
      <c r="Z50" s="321"/>
      <c r="AA50" s="321"/>
      <c r="AB50" s="321"/>
      <c r="AC50" s="321"/>
      <c r="AD50" s="321"/>
      <c r="AE50" s="321"/>
      <c r="AF50" s="321"/>
      <c r="AG50" s="321"/>
      <c r="AH50" s="321"/>
      <c r="AI50" s="321"/>
      <c r="AJ50" s="321"/>
      <c r="AK50" s="321"/>
      <c r="AL50" s="321"/>
      <c r="AM50" s="321"/>
      <c r="AN50" s="321"/>
      <c r="AO50" s="321"/>
      <c r="AP50" s="321"/>
      <c r="AQ50" s="321"/>
      <c r="AR50" s="321"/>
      <c r="AS50" s="321"/>
      <c r="AT50" s="321"/>
      <c r="AU50" s="321"/>
      <c r="AV50" s="321"/>
      <c r="AW50" s="321"/>
      <c r="AX50" s="321"/>
      <c r="AY50" s="321"/>
      <c r="AZ50" s="321"/>
      <c r="BA50" s="321"/>
      <c r="BB50" s="321"/>
      <c r="BC50" s="321"/>
      <c r="BD50" s="321"/>
      <c r="BE50" s="321"/>
      <c r="BF50" s="321"/>
      <c r="BG50" s="321"/>
      <c r="BH50" s="321"/>
      <c r="BI50" s="321"/>
      <c r="BJ50" s="321"/>
      <c r="BK50" s="321"/>
      <c r="BL50" s="321"/>
      <c r="BM50" s="321"/>
      <c r="BN50" s="321"/>
      <c r="BO50" s="321"/>
      <c r="BP50" s="321"/>
      <c r="BQ50" s="321"/>
      <c r="BR50" s="321"/>
      <c r="BS50" s="321"/>
      <c r="BT50" s="321"/>
      <c r="BU50" s="321"/>
      <c r="BV50" s="321"/>
      <c r="BW50" s="1013">
        <f t="shared" si="35"/>
        <v>0</v>
      </c>
      <c r="BX50" s="1013">
        <f t="shared" si="35"/>
        <v>0</v>
      </c>
      <c r="BY50" s="1014">
        <f>SUM(I50+N50+S50+X50+AC50+AH50+AM50+AU50+AZ50+BE50+BJ50+BO50+BT50+D50)</f>
        <v>0</v>
      </c>
      <c r="BZ50" s="1020">
        <f t="shared" si="36"/>
        <v>0</v>
      </c>
    </row>
    <row r="51" spans="1:79" s="519" customFormat="1" ht="15" hidden="1" customHeight="1">
      <c r="A51" s="321" t="s">
        <v>727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321"/>
      <c r="N51" s="321"/>
      <c r="O51" s="321"/>
      <c r="P51" s="321"/>
      <c r="Q51" s="321"/>
      <c r="R51" s="321"/>
      <c r="S51" s="321"/>
      <c r="T51" s="321"/>
      <c r="U51" s="321"/>
      <c r="V51" s="321"/>
      <c r="W51" s="321"/>
      <c r="X51" s="321"/>
      <c r="Y51" s="321"/>
      <c r="Z51" s="321"/>
      <c r="AA51" s="321"/>
      <c r="AB51" s="321"/>
      <c r="AC51" s="321"/>
      <c r="AD51" s="321"/>
      <c r="AE51" s="321"/>
      <c r="AF51" s="321"/>
      <c r="AG51" s="321"/>
      <c r="AH51" s="321"/>
      <c r="AI51" s="321"/>
      <c r="AJ51" s="321"/>
      <c r="AK51" s="321"/>
      <c r="AL51" s="321"/>
      <c r="AM51" s="321"/>
      <c r="AN51" s="321"/>
      <c r="AO51" s="321"/>
      <c r="AP51" s="321"/>
      <c r="AQ51" s="321"/>
      <c r="AR51" s="321"/>
      <c r="AS51" s="321"/>
      <c r="AT51" s="321"/>
      <c r="AU51" s="321"/>
      <c r="AV51" s="321"/>
      <c r="AW51" s="321"/>
      <c r="AX51" s="321"/>
      <c r="AY51" s="321"/>
      <c r="AZ51" s="321"/>
      <c r="BA51" s="321"/>
      <c r="BB51" s="321"/>
      <c r="BC51" s="321"/>
      <c r="BD51" s="321"/>
      <c r="BE51" s="321"/>
      <c r="BF51" s="321"/>
      <c r="BG51" s="321"/>
      <c r="BH51" s="321"/>
      <c r="BI51" s="321"/>
      <c r="BJ51" s="321"/>
      <c r="BK51" s="321"/>
      <c r="BL51" s="321"/>
      <c r="BM51" s="321"/>
      <c r="BN51" s="321"/>
      <c r="BO51" s="321"/>
      <c r="BP51" s="321"/>
      <c r="BQ51" s="321"/>
      <c r="BR51" s="321"/>
      <c r="BS51" s="321"/>
      <c r="BT51" s="321"/>
      <c r="BU51" s="321"/>
      <c r="BV51" s="321"/>
      <c r="BW51" s="1013">
        <f t="shared" si="35"/>
        <v>0</v>
      </c>
      <c r="BX51" s="1013">
        <f t="shared" si="35"/>
        <v>0</v>
      </c>
      <c r="BY51" s="1014">
        <f>SUM(I51+N51+S51+X51+AC51+AH51+AM51+AU51+AZ51+BE51+BJ51+BO51+BT51+D51)</f>
        <v>0</v>
      </c>
      <c r="BZ51" s="1020">
        <f t="shared" si="36"/>
        <v>0</v>
      </c>
    </row>
    <row r="52" spans="1:79" s="519" customFormat="1" ht="15" hidden="1" customHeight="1">
      <c r="A52" s="321" t="s">
        <v>728</v>
      </c>
      <c r="B52" s="321"/>
      <c r="C52" s="321"/>
      <c r="D52" s="321"/>
      <c r="E52" s="321"/>
      <c r="F52" s="321"/>
      <c r="G52" s="321"/>
      <c r="H52" s="321"/>
      <c r="I52" s="321"/>
      <c r="J52" s="321"/>
      <c r="K52" s="321"/>
      <c r="L52" s="321"/>
      <c r="M52" s="321"/>
      <c r="N52" s="321"/>
      <c r="O52" s="321"/>
      <c r="P52" s="321"/>
      <c r="Q52" s="321"/>
      <c r="R52" s="321"/>
      <c r="S52" s="321"/>
      <c r="T52" s="321"/>
      <c r="U52" s="321"/>
      <c r="V52" s="321"/>
      <c r="W52" s="321"/>
      <c r="X52" s="321"/>
      <c r="Y52" s="321"/>
      <c r="Z52" s="321"/>
      <c r="AA52" s="321"/>
      <c r="AB52" s="321"/>
      <c r="AC52" s="321"/>
      <c r="AD52" s="321"/>
      <c r="AE52" s="321"/>
      <c r="AF52" s="321"/>
      <c r="AG52" s="321"/>
      <c r="AH52" s="321"/>
      <c r="AI52" s="321"/>
      <c r="AJ52" s="321"/>
      <c r="AK52" s="321"/>
      <c r="AL52" s="321"/>
      <c r="AM52" s="321"/>
      <c r="AN52" s="321"/>
      <c r="AO52" s="321"/>
      <c r="AP52" s="321"/>
      <c r="AQ52" s="321"/>
      <c r="AR52" s="321"/>
      <c r="AS52" s="321"/>
      <c r="AT52" s="321"/>
      <c r="AU52" s="321"/>
      <c r="AV52" s="321"/>
      <c r="AW52" s="321"/>
      <c r="AX52" s="321"/>
      <c r="AY52" s="321"/>
      <c r="AZ52" s="321"/>
      <c r="BA52" s="321"/>
      <c r="BB52" s="321"/>
      <c r="BC52" s="321"/>
      <c r="BD52" s="321"/>
      <c r="BE52" s="321"/>
      <c r="BF52" s="321"/>
      <c r="BG52" s="321"/>
      <c r="BH52" s="321"/>
      <c r="BI52" s="321"/>
      <c r="BJ52" s="321"/>
      <c r="BK52" s="321"/>
      <c r="BL52" s="321"/>
      <c r="BM52" s="321"/>
      <c r="BN52" s="321"/>
      <c r="BO52" s="321"/>
      <c r="BP52" s="321"/>
      <c r="BQ52" s="321"/>
      <c r="BR52" s="321"/>
      <c r="BS52" s="321"/>
      <c r="BT52" s="321"/>
      <c r="BU52" s="321"/>
      <c r="BV52" s="321"/>
      <c r="BW52" s="1013">
        <f t="shared" si="35"/>
        <v>0</v>
      </c>
      <c r="BX52" s="1013">
        <f t="shared" si="35"/>
        <v>0</v>
      </c>
      <c r="BY52" s="1014">
        <f>SUM(I52+N52+S52+X52+AC52+AH52+AM52+AU52+AZ52+BE52+BJ52+BO52+BT52+D52)</f>
        <v>0</v>
      </c>
      <c r="BZ52" s="1020">
        <f t="shared" si="36"/>
        <v>0</v>
      </c>
    </row>
    <row r="53" spans="1:79" s="519" customFormat="1" ht="15" hidden="1" customHeight="1">
      <c r="A53" s="321" t="s">
        <v>729</v>
      </c>
      <c r="B53" s="321"/>
      <c r="C53" s="321"/>
      <c r="D53" s="321"/>
      <c r="E53" s="321"/>
      <c r="F53" s="321"/>
      <c r="G53" s="321"/>
      <c r="H53" s="321"/>
      <c r="I53" s="321"/>
      <c r="J53" s="321"/>
      <c r="K53" s="321"/>
      <c r="L53" s="321"/>
      <c r="M53" s="321"/>
      <c r="N53" s="321"/>
      <c r="O53" s="321"/>
      <c r="P53" s="321"/>
      <c r="Q53" s="321"/>
      <c r="R53" s="321"/>
      <c r="S53" s="321"/>
      <c r="T53" s="321"/>
      <c r="U53" s="321"/>
      <c r="V53" s="321"/>
      <c r="W53" s="321"/>
      <c r="X53" s="321"/>
      <c r="Y53" s="321"/>
      <c r="Z53" s="321"/>
      <c r="AA53" s="321"/>
      <c r="AB53" s="321"/>
      <c r="AC53" s="321"/>
      <c r="AD53" s="321"/>
      <c r="AE53" s="321"/>
      <c r="AF53" s="321"/>
      <c r="AG53" s="321"/>
      <c r="AH53" s="321"/>
      <c r="AI53" s="321"/>
      <c r="AJ53" s="321"/>
      <c r="AK53" s="321"/>
      <c r="AL53" s="321"/>
      <c r="AM53" s="321"/>
      <c r="AN53" s="321"/>
      <c r="AO53" s="321"/>
      <c r="AP53" s="321"/>
      <c r="AQ53" s="321"/>
      <c r="AR53" s="321"/>
      <c r="AS53" s="321"/>
      <c r="AT53" s="321"/>
      <c r="AU53" s="321"/>
      <c r="AV53" s="321"/>
      <c r="AW53" s="321"/>
      <c r="AX53" s="321"/>
      <c r="AY53" s="321"/>
      <c r="AZ53" s="321"/>
      <c r="BA53" s="321"/>
      <c r="BB53" s="321"/>
      <c r="BC53" s="321"/>
      <c r="BD53" s="321"/>
      <c r="BE53" s="321"/>
      <c r="BF53" s="321"/>
      <c r="BG53" s="321"/>
      <c r="BH53" s="321"/>
      <c r="BI53" s="321"/>
      <c r="BJ53" s="321"/>
      <c r="BK53" s="321"/>
      <c r="BL53" s="321"/>
      <c r="BM53" s="321"/>
      <c r="BN53" s="321"/>
      <c r="BO53" s="321"/>
      <c r="BP53" s="321"/>
      <c r="BQ53" s="321"/>
      <c r="BR53" s="321"/>
      <c r="BS53" s="321"/>
      <c r="BT53" s="321"/>
      <c r="BU53" s="321"/>
      <c r="BV53" s="321"/>
      <c r="BW53" s="1013">
        <f t="shared" si="35"/>
        <v>0</v>
      </c>
      <c r="BX53" s="1013">
        <f t="shared" si="35"/>
        <v>0</v>
      </c>
      <c r="BY53" s="1014">
        <f>SUM(I53+N53+S53+X53+AC53+AH53+AM53+AU53+AZ53+BE53+BJ53+BO53+BT53+D53)</f>
        <v>0</v>
      </c>
      <c r="BZ53" s="1026">
        <f t="shared" si="36"/>
        <v>0</v>
      </c>
    </row>
    <row r="54" spans="1:79" s="415" customFormat="1" ht="15" hidden="1" customHeight="1">
      <c r="A54" s="321" t="s">
        <v>730</v>
      </c>
      <c r="B54" s="321"/>
      <c r="C54" s="321"/>
      <c r="D54" s="321"/>
      <c r="E54" s="321"/>
      <c r="F54" s="321"/>
      <c r="G54" s="321"/>
      <c r="H54" s="321"/>
      <c r="I54" s="321"/>
      <c r="J54" s="321"/>
      <c r="K54" s="321"/>
      <c r="L54" s="321"/>
      <c r="M54" s="321"/>
      <c r="N54" s="321"/>
      <c r="O54" s="321"/>
      <c r="P54" s="321"/>
      <c r="Q54" s="321"/>
      <c r="R54" s="321"/>
      <c r="S54" s="321"/>
      <c r="T54" s="321"/>
      <c r="U54" s="321"/>
      <c r="V54" s="321"/>
      <c r="W54" s="321"/>
      <c r="X54" s="321"/>
      <c r="Y54" s="321"/>
      <c r="Z54" s="321"/>
      <c r="AA54" s="321"/>
      <c r="AB54" s="321"/>
      <c r="AC54" s="321"/>
      <c r="AD54" s="321"/>
      <c r="AE54" s="321"/>
      <c r="AF54" s="321"/>
      <c r="AG54" s="321"/>
      <c r="AH54" s="321"/>
      <c r="AI54" s="321"/>
      <c r="AJ54" s="321"/>
      <c r="AK54" s="321"/>
      <c r="AL54" s="321"/>
      <c r="AM54" s="321"/>
      <c r="AN54" s="321"/>
      <c r="AO54" s="321"/>
      <c r="AP54" s="321"/>
      <c r="AQ54" s="321"/>
      <c r="AR54" s="321"/>
      <c r="AS54" s="321"/>
      <c r="AT54" s="321"/>
      <c r="AU54" s="321"/>
      <c r="AV54" s="321"/>
      <c r="AW54" s="321"/>
      <c r="AX54" s="321"/>
      <c r="AY54" s="321"/>
      <c r="AZ54" s="321"/>
      <c r="BA54" s="321"/>
      <c r="BB54" s="321"/>
      <c r="BC54" s="321"/>
      <c r="BD54" s="321"/>
      <c r="BE54" s="321"/>
      <c r="BF54" s="321"/>
      <c r="BG54" s="321"/>
      <c r="BH54" s="321"/>
      <c r="BI54" s="321"/>
      <c r="BJ54" s="321"/>
      <c r="BK54" s="321"/>
      <c r="BL54" s="321"/>
      <c r="BM54" s="321"/>
      <c r="BN54" s="321"/>
      <c r="BO54" s="321"/>
      <c r="BP54" s="321"/>
      <c r="BQ54" s="321"/>
      <c r="BR54" s="321"/>
      <c r="BS54" s="321"/>
      <c r="BT54" s="321"/>
      <c r="BU54" s="321"/>
      <c r="BV54" s="321"/>
      <c r="BW54" s="1013">
        <f t="shared" si="35"/>
        <v>0</v>
      </c>
      <c r="BX54" s="1013">
        <f t="shared" si="35"/>
        <v>0</v>
      </c>
      <c r="BY54" s="1014">
        <f>SUM(I54+N54+S54+X54+AC54+AH54+AM54+AU54+AZ54+BE54+BJ54+BO54+BT54)</f>
        <v>0</v>
      </c>
      <c r="BZ54" s="1020">
        <f t="shared" si="36"/>
        <v>0</v>
      </c>
      <c r="CA54" s="519"/>
    </row>
    <row r="55" spans="1:79" s="415" customFormat="1" ht="15" customHeight="1">
      <c r="A55" s="321" t="s">
        <v>731</v>
      </c>
      <c r="B55" s="321"/>
      <c r="C55" s="321"/>
      <c r="D55" s="1021"/>
      <c r="E55" s="1010">
        <f>SUM(C55+D55)</f>
        <v>0</v>
      </c>
      <c r="F55" s="1010"/>
      <c r="G55" s="321"/>
      <c r="H55" s="321"/>
      <c r="I55" s="1021"/>
      <c r="J55" s="1010">
        <f>SUM(H55+I55)</f>
        <v>0</v>
      </c>
      <c r="K55" s="1010"/>
      <c r="L55" s="321"/>
      <c r="M55" s="321"/>
      <c r="N55" s="1021"/>
      <c r="O55" s="1010">
        <f>SUM(M55+N55)</f>
        <v>0</v>
      </c>
      <c r="P55" s="1010"/>
      <c r="Q55" s="321"/>
      <c r="R55" s="321"/>
      <c r="S55" s="1021"/>
      <c r="T55" s="1010">
        <f>SUM(R55+S55)</f>
        <v>0</v>
      </c>
      <c r="U55" s="1010"/>
      <c r="V55" s="321"/>
      <c r="W55" s="321"/>
      <c r="X55" s="1021"/>
      <c r="Y55" s="1010">
        <f>SUM(W55+X55)</f>
        <v>0</v>
      </c>
      <c r="Z55" s="1010"/>
      <c r="AA55" s="321"/>
      <c r="AB55" s="321"/>
      <c r="AC55" s="1021"/>
      <c r="AD55" s="1010">
        <f>SUM(AB55+AC55)</f>
        <v>0</v>
      </c>
      <c r="AE55" s="1010"/>
      <c r="AF55" s="321"/>
      <c r="AG55" s="321"/>
      <c r="AH55" s="1021"/>
      <c r="AI55" s="1010">
        <f>SUM(AG55+AH55)</f>
        <v>0</v>
      </c>
      <c r="AJ55" s="1010"/>
      <c r="AK55" s="321"/>
      <c r="AL55" s="321"/>
      <c r="AM55" s="1021"/>
      <c r="AN55" s="1010">
        <f>SUM(AL55+AM55)</f>
        <v>0</v>
      </c>
      <c r="AO55" s="1010"/>
      <c r="AP55" s="1010"/>
      <c r="AQ55" s="1010">
        <v>0</v>
      </c>
      <c r="AR55" s="1010"/>
      <c r="AS55" s="321"/>
      <c r="AT55" s="321"/>
      <c r="AU55" s="1021"/>
      <c r="AV55" s="1010">
        <f>SUM(AT55+AU55)</f>
        <v>0</v>
      </c>
      <c r="AW55" s="1010"/>
      <c r="AX55" s="321"/>
      <c r="AY55" s="321"/>
      <c r="AZ55" s="1021"/>
      <c r="BA55" s="1010">
        <f>SUM(AY55+AZ55)</f>
        <v>0</v>
      </c>
      <c r="BB55" s="1010"/>
      <c r="BC55" s="321"/>
      <c r="BD55" s="321"/>
      <c r="BE55" s="1021"/>
      <c r="BF55" s="1010">
        <f>SUM(BD55+BE55)</f>
        <v>0</v>
      </c>
      <c r="BG55" s="1010"/>
      <c r="BH55" s="321"/>
      <c r="BI55" s="321"/>
      <c r="BJ55" s="1021"/>
      <c r="BK55" s="1010">
        <f>SUM(BI55+BJ55)</f>
        <v>0</v>
      </c>
      <c r="BL55" s="1010"/>
      <c r="BM55" s="321"/>
      <c r="BN55" s="321"/>
      <c r="BO55" s="1021"/>
      <c r="BP55" s="1010">
        <f>SUM(BN55+BO55)</f>
        <v>0</v>
      </c>
      <c r="BQ55" s="1010"/>
      <c r="BR55" s="321"/>
      <c r="BS55" s="321"/>
      <c r="BT55" s="1021"/>
      <c r="BU55" s="1010">
        <f>SUM(BS55+BT55)</f>
        <v>0</v>
      </c>
      <c r="BV55" s="1010"/>
      <c r="BW55" s="1013">
        <f>SUM(B55+G55+L55+Q55+V55+AA55+AF55+AK55+AS55+AX55+BC55+BH55+BM55+BR55+AP55)</f>
        <v>0</v>
      </c>
      <c r="BX55" s="1013">
        <f>SUM(C55+H55+M55+R55+W55+AB55+AG55+AL55+AT55+AY55+BD55+BI55+BN55+BS55)</f>
        <v>0</v>
      </c>
      <c r="BY55" s="1025">
        <f>SUM(I55+N55+S55+X55+AC55+AH55+AM55+AU55+AZ55+BE55+BJ55+BO55+BT55)</f>
        <v>0</v>
      </c>
      <c r="BZ55" s="1015">
        <f t="shared" ref="BZ55:CA59" si="37">SUM(E55+J55+O55+T55+Y55+AD55+AI55+AN55+AV55+BA55+BF55+BK55+BP55+BU55+AQ55)</f>
        <v>0</v>
      </c>
      <c r="CA55" s="1015">
        <f t="shared" si="37"/>
        <v>0</v>
      </c>
    </row>
    <row r="56" spans="1:79" s="519" customFormat="1" ht="15" customHeight="1">
      <c r="A56" s="321" t="s">
        <v>732</v>
      </c>
      <c r="B56" s="321"/>
      <c r="C56" s="321"/>
      <c r="D56" s="1021"/>
      <c r="E56" s="1010">
        <f>SUM(C56+D56)</f>
        <v>0</v>
      </c>
      <c r="F56" s="1010"/>
      <c r="G56" s="321"/>
      <c r="H56" s="321"/>
      <c r="I56" s="1021"/>
      <c r="J56" s="1010">
        <f>SUM(H56+I56)</f>
        <v>0</v>
      </c>
      <c r="K56" s="1010"/>
      <c r="L56" s="321"/>
      <c r="M56" s="321"/>
      <c r="N56" s="1021"/>
      <c r="O56" s="1010">
        <f>SUM(M56+N56)</f>
        <v>0</v>
      </c>
      <c r="P56" s="1010"/>
      <c r="Q56" s="321"/>
      <c r="R56" s="321"/>
      <c r="S56" s="1021"/>
      <c r="T56" s="1010">
        <f>SUM(R56+S56)</f>
        <v>0</v>
      </c>
      <c r="U56" s="1010"/>
      <c r="V56" s="321"/>
      <c r="W56" s="321"/>
      <c r="X56" s="1021"/>
      <c r="Y56" s="1010">
        <f>SUM(W56+X56)</f>
        <v>0</v>
      </c>
      <c r="Z56" s="1010"/>
      <c r="AA56" s="321"/>
      <c r="AB56" s="321"/>
      <c r="AC56" s="1021"/>
      <c r="AD56" s="1010">
        <f>SUM(AB56+AC56)</f>
        <v>0</v>
      </c>
      <c r="AE56" s="1010"/>
      <c r="AF56" s="321"/>
      <c r="AG56" s="321"/>
      <c r="AH56" s="1021"/>
      <c r="AI56" s="1010">
        <f>SUM(AG56+AH56)</f>
        <v>0</v>
      </c>
      <c r="AJ56" s="1010"/>
      <c r="AK56" s="321"/>
      <c r="AL56" s="321"/>
      <c r="AM56" s="1021"/>
      <c r="AN56" s="1010">
        <f>SUM(AL56+AM56)</f>
        <v>0</v>
      </c>
      <c r="AO56" s="1010"/>
      <c r="AP56" s="1010"/>
      <c r="AQ56" s="1010">
        <v>0</v>
      </c>
      <c r="AR56" s="1010"/>
      <c r="AS56" s="321"/>
      <c r="AT56" s="321"/>
      <c r="AU56" s="1021"/>
      <c r="AV56" s="1010">
        <f>SUM(AT56+AU56)</f>
        <v>0</v>
      </c>
      <c r="AW56" s="1010"/>
      <c r="AX56" s="321"/>
      <c r="AY56" s="321"/>
      <c r="AZ56" s="1021"/>
      <c r="BA56" s="1010">
        <f>SUM(AY56+AZ56)</f>
        <v>0</v>
      </c>
      <c r="BB56" s="1010"/>
      <c r="BC56" s="321"/>
      <c r="BD56" s="321"/>
      <c r="BE56" s="1021"/>
      <c r="BF56" s="1010">
        <f>SUM(BD56+BE56)</f>
        <v>0</v>
      </c>
      <c r="BG56" s="1010"/>
      <c r="BH56" s="321"/>
      <c r="BI56" s="321"/>
      <c r="BJ56" s="1021"/>
      <c r="BK56" s="1010">
        <f>SUM(BI56+BJ56)</f>
        <v>0</v>
      </c>
      <c r="BL56" s="1010"/>
      <c r="BM56" s="321"/>
      <c r="BN56" s="321"/>
      <c r="BO56" s="1021"/>
      <c r="BP56" s="1010">
        <f>SUM(BN56+BO56)</f>
        <v>0</v>
      </c>
      <c r="BQ56" s="1010"/>
      <c r="BR56" s="321"/>
      <c r="BS56" s="321"/>
      <c r="BT56" s="1021"/>
      <c r="BU56" s="1010">
        <f>SUM(BS56+BT56)</f>
        <v>0</v>
      </c>
      <c r="BV56" s="1010"/>
      <c r="BW56" s="1013">
        <f>SUM(B56+G56+L56+Q56+V56+AA56+AF56+AK56+AS56+AX56+BC56+BH56+BM56+BR56+AP56)</f>
        <v>0</v>
      </c>
      <c r="BX56" s="1013">
        <f>SUM(C56+H56+M56+R56+W56+AB56+AG56+AL56+AT56+AY56+BD56+BI56+BN56+BS56)</f>
        <v>0</v>
      </c>
      <c r="BY56" s="1014">
        <f>SUM(I56+N56+S56+X56+AC56+AH56+AM56+AU56+AZ56+BE56+BJ56+BO56+BT56+D56)</f>
        <v>0</v>
      </c>
      <c r="BZ56" s="1015">
        <f t="shared" si="37"/>
        <v>0</v>
      </c>
      <c r="CA56" s="1015">
        <f t="shared" si="37"/>
        <v>0</v>
      </c>
    </row>
    <row r="57" spans="1:79" s="519" customFormat="1" ht="15" customHeight="1">
      <c r="A57" s="321" t="s">
        <v>733</v>
      </c>
      <c r="B57" s="321"/>
      <c r="C57" s="321"/>
      <c r="D57" s="1021"/>
      <c r="E57" s="1010">
        <f>SUM(C57+D57)</f>
        <v>0</v>
      </c>
      <c r="F57" s="1010"/>
      <c r="G57" s="321"/>
      <c r="H57" s="321"/>
      <c r="I57" s="1021"/>
      <c r="J57" s="1010">
        <f>SUM(H57+I57)</f>
        <v>0</v>
      </c>
      <c r="K57" s="1010"/>
      <c r="L57" s="321"/>
      <c r="M57" s="321"/>
      <c r="N57" s="1021"/>
      <c r="O57" s="1010">
        <f>SUM(M57+N57)</f>
        <v>0</v>
      </c>
      <c r="P57" s="1010"/>
      <c r="Q57" s="321"/>
      <c r="R57" s="321"/>
      <c r="S57" s="1021"/>
      <c r="T57" s="1010">
        <f>SUM(R57+S57)</f>
        <v>0</v>
      </c>
      <c r="U57" s="1010"/>
      <c r="V57" s="321"/>
      <c r="W57" s="321"/>
      <c r="X57" s="1021"/>
      <c r="Y57" s="1010">
        <f>SUM(W57+X57)</f>
        <v>0</v>
      </c>
      <c r="Z57" s="1010"/>
      <c r="AA57" s="321"/>
      <c r="AB57" s="321"/>
      <c r="AC57" s="1021"/>
      <c r="AD57" s="1010">
        <f>SUM(AB57+AC57)</f>
        <v>0</v>
      </c>
      <c r="AE57" s="1010"/>
      <c r="AF57" s="321"/>
      <c r="AG57" s="321"/>
      <c r="AH57" s="1021"/>
      <c r="AI57" s="1010">
        <f>SUM(AG57+AH57)</f>
        <v>0</v>
      </c>
      <c r="AJ57" s="1010"/>
      <c r="AK57" s="321"/>
      <c r="AL57" s="321"/>
      <c r="AM57" s="1021"/>
      <c r="AN57" s="1010">
        <f>SUM(AL57+AM57)</f>
        <v>0</v>
      </c>
      <c r="AO57" s="1010"/>
      <c r="AP57" s="1010"/>
      <c r="AQ57" s="1010">
        <v>0</v>
      </c>
      <c r="AR57" s="1010"/>
      <c r="AS57" s="321"/>
      <c r="AT57" s="321"/>
      <c r="AU57" s="1021"/>
      <c r="AV57" s="1010">
        <f>SUM(AT57+AU57)</f>
        <v>0</v>
      </c>
      <c r="AW57" s="1010"/>
      <c r="AX57" s="321"/>
      <c r="AY57" s="321"/>
      <c r="AZ57" s="1021"/>
      <c r="BA57" s="1010">
        <f>SUM(AY57+AZ57)</f>
        <v>0</v>
      </c>
      <c r="BB57" s="1010"/>
      <c r="BC57" s="321"/>
      <c r="BD57" s="321"/>
      <c r="BE57" s="1021"/>
      <c r="BF57" s="1010">
        <f>SUM(BD57+BE57)</f>
        <v>0</v>
      </c>
      <c r="BG57" s="1010"/>
      <c r="BH57" s="321"/>
      <c r="BI57" s="321"/>
      <c r="BJ57" s="1021"/>
      <c r="BK57" s="1010">
        <f>SUM(BI57+BJ57)</f>
        <v>0</v>
      </c>
      <c r="BL57" s="1010"/>
      <c r="BM57" s="321"/>
      <c r="BN57" s="321"/>
      <c r="BO57" s="1021"/>
      <c r="BP57" s="1010">
        <f>SUM(BN57+BO57)</f>
        <v>0</v>
      </c>
      <c r="BQ57" s="1010"/>
      <c r="BR57" s="321"/>
      <c r="BS57" s="321"/>
      <c r="BT57" s="1021"/>
      <c r="BU57" s="1010">
        <f>SUM(BS57+BT57)</f>
        <v>0</v>
      </c>
      <c r="BV57" s="1010"/>
      <c r="BW57" s="1013">
        <f>SUM(B57+G57+L57+Q57+V57+AA57+AF57+AK57+AS57+AX57+BC57+BH57+BM57+BR57+AP57)</f>
        <v>0</v>
      </c>
      <c r="BX57" s="1013">
        <f>SUM(C57+H57+M57+R57+W57+AB57+AG57+AL57+AT57+AY57+BD57+BI57+BN57+BS57)</f>
        <v>0</v>
      </c>
      <c r="BY57" s="1014">
        <f>SUM(I57+N57+S57+X57+AC57+AH57+AM57+AU57+AZ57+BE57+BJ57+BO57+BT57+D57)</f>
        <v>0</v>
      </c>
      <c r="BZ57" s="1015">
        <f t="shared" si="37"/>
        <v>0</v>
      </c>
      <c r="CA57" s="1015">
        <f t="shared" si="37"/>
        <v>0</v>
      </c>
    </row>
    <row r="58" spans="1:79" s="519" customFormat="1" ht="15" customHeight="1">
      <c r="A58" s="321" t="s">
        <v>734</v>
      </c>
      <c r="B58" s="321"/>
      <c r="C58" s="321"/>
      <c r="D58" s="1021"/>
      <c r="E58" s="1010">
        <f>SUM(C58+D58)</f>
        <v>0</v>
      </c>
      <c r="F58" s="1010"/>
      <c r="G58" s="321"/>
      <c r="H58" s="321"/>
      <c r="I58" s="1021"/>
      <c r="J58" s="1010">
        <f>SUM(H58+I58)</f>
        <v>0</v>
      </c>
      <c r="K58" s="1010"/>
      <c r="L58" s="321"/>
      <c r="M58" s="321"/>
      <c r="N58" s="1021"/>
      <c r="O58" s="1010">
        <f>SUM(M58+N58)</f>
        <v>0</v>
      </c>
      <c r="P58" s="1010"/>
      <c r="Q58" s="321"/>
      <c r="R58" s="321"/>
      <c r="S58" s="1021"/>
      <c r="T58" s="1010">
        <f>SUM(R58+S58)</f>
        <v>0</v>
      </c>
      <c r="U58" s="1010"/>
      <c r="V58" s="321"/>
      <c r="W58" s="321"/>
      <c r="X58" s="1021"/>
      <c r="Y58" s="1010">
        <f>SUM(W58+X58)</f>
        <v>0</v>
      </c>
      <c r="Z58" s="1010"/>
      <c r="AA58" s="321"/>
      <c r="AB58" s="321"/>
      <c r="AC58" s="1021"/>
      <c r="AD58" s="1010">
        <f>SUM(AB58+AC58)</f>
        <v>0</v>
      </c>
      <c r="AE58" s="1010"/>
      <c r="AF58" s="321"/>
      <c r="AG58" s="321"/>
      <c r="AH58" s="1021"/>
      <c r="AI58" s="1010">
        <f>SUM(AG58+AH58)</f>
        <v>0</v>
      </c>
      <c r="AJ58" s="1010"/>
      <c r="AK58" s="321"/>
      <c r="AL58" s="321"/>
      <c r="AM58" s="1021"/>
      <c r="AN58" s="1010">
        <f>SUM(AL58+AM58)</f>
        <v>0</v>
      </c>
      <c r="AO58" s="1010"/>
      <c r="AP58" s="1010"/>
      <c r="AQ58" s="1010">
        <v>0</v>
      </c>
      <c r="AR58" s="1010"/>
      <c r="AS58" s="321"/>
      <c r="AT58" s="321"/>
      <c r="AU58" s="1021"/>
      <c r="AV58" s="1010">
        <f>SUM(AT58+AU58)</f>
        <v>0</v>
      </c>
      <c r="AW58" s="1010"/>
      <c r="AX58" s="321"/>
      <c r="AY58" s="321"/>
      <c r="AZ58" s="1021"/>
      <c r="BA58" s="1010">
        <f>SUM(AY58+AZ58)</f>
        <v>0</v>
      </c>
      <c r="BB58" s="1010"/>
      <c r="BC58" s="321"/>
      <c r="BD58" s="321"/>
      <c r="BE58" s="1021"/>
      <c r="BF58" s="1010">
        <f>SUM(BD58+BE58)</f>
        <v>0</v>
      </c>
      <c r="BG58" s="1010"/>
      <c r="BH58" s="321"/>
      <c r="BI58" s="321"/>
      <c r="BJ58" s="1021"/>
      <c r="BK58" s="1010">
        <f>SUM(BI58+BJ58)</f>
        <v>0</v>
      </c>
      <c r="BL58" s="1010"/>
      <c r="BM58" s="321"/>
      <c r="BN58" s="321"/>
      <c r="BO58" s="1021"/>
      <c r="BP58" s="1010">
        <f>SUM(BN58+BO58)</f>
        <v>0</v>
      </c>
      <c r="BQ58" s="1010"/>
      <c r="BR58" s="321"/>
      <c r="BS58" s="321"/>
      <c r="BT58" s="1021"/>
      <c r="BU58" s="1010">
        <f>SUM(BS58+BT58)</f>
        <v>0</v>
      </c>
      <c r="BV58" s="1010"/>
      <c r="BW58" s="1013">
        <f>SUM(B58+G58+L58+Q58+V58+AA58+AF58+AK58+AS58+AX58+BC58+BH58+BM58+BR58+AP58)</f>
        <v>0</v>
      </c>
      <c r="BX58" s="1013">
        <f>SUM(C58+H58+M58+R58+W58+AB58+AG58+AL58+AT58+AY58+BD58+BI58+BN58+BS58)</f>
        <v>0</v>
      </c>
      <c r="BY58" s="1014">
        <f>SUM(I58+N58+S58+X58+AC58+AH58+AM58+AU58+AZ58+BE58+BJ58+BO58+BT58+D58)</f>
        <v>0</v>
      </c>
      <c r="BZ58" s="1015">
        <f t="shared" si="37"/>
        <v>0</v>
      </c>
      <c r="CA58" s="1015">
        <f t="shared" si="37"/>
        <v>0</v>
      </c>
    </row>
    <row r="59" spans="1:79" s="519" customFormat="1" ht="15" customHeight="1">
      <c r="A59" s="321" t="s">
        <v>735</v>
      </c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1"/>
      <c r="M59" s="321"/>
      <c r="N59" s="321"/>
      <c r="O59" s="321"/>
      <c r="P59" s="321"/>
      <c r="Q59" s="321"/>
      <c r="R59" s="321"/>
      <c r="S59" s="321"/>
      <c r="T59" s="321"/>
      <c r="U59" s="321"/>
      <c r="V59" s="321"/>
      <c r="W59" s="321"/>
      <c r="X59" s="321"/>
      <c r="Y59" s="321"/>
      <c r="Z59" s="321"/>
      <c r="AA59" s="321"/>
      <c r="AB59" s="321"/>
      <c r="AC59" s="321"/>
      <c r="AD59" s="321"/>
      <c r="AE59" s="321"/>
      <c r="AF59" s="321"/>
      <c r="AG59" s="321"/>
      <c r="AH59" s="321"/>
      <c r="AI59" s="321"/>
      <c r="AJ59" s="321"/>
      <c r="AK59" s="321"/>
      <c r="AL59" s="321"/>
      <c r="AM59" s="321"/>
      <c r="AN59" s="321"/>
      <c r="AO59" s="321"/>
      <c r="AP59" s="321"/>
      <c r="AQ59" s="321">
        <v>0</v>
      </c>
      <c r="AR59" s="321"/>
      <c r="AS59" s="321"/>
      <c r="AT59" s="321"/>
      <c r="AU59" s="321"/>
      <c r="AV59" s="321"/>
      <c r="AW59" s="321"/>
      <c r="AX59" s="321"/>
      <c r="AY59" s="321"/>
      <c r="AZ59" s="321"/>
      <c r="BA59" s="321"/>
      <c r="BB59" s="321"/>
      <c r="BC59" s="321"/>
      <c r="BD59" s="321"/>
      <c r="BE59" s="321"/>
      <c r="BF59" s="321"/>
      <c r="BG59" s="321"/>
      <c r="BH59" s="321"/>
      <c r="BI59" s="321"/>
      <c r="BJ59" s="321"/>
      <c r="BK59" s="321"/>
      <c r="BL59" s="321"/>
      <c r="BM59" s="321"/>
      <c r="BN59" s="321"/>
      <c r="BO59" s="321"/>
      <c r="BP59" s="321"/>
      <c r="BQ59" s="321"/>
      <c r="BR59" s="321"/>
      <c r="BS59" s="321"/>
      <c r="BT59" s="321"/>
      <c r="BU59" s="321"/>
      <c r="BV59" s="321"/>
      <c r="BW59" s="1013">
        <f>SUM(B59+G59+L59+Q59+V59+AA59+AF59+AK59+AS59+AX59+BC59+BH59+BM59+BR59+AP59)</f>
        <v>0</v>
      </c>
      <c r="BX59" s="1013">
        <f>SUM(C59+H59+M59+R59+W59+AB59+AG59+AL59+AT59+AY59+BD59+BI59+BN59+BS59)</f>
        <v>0</v>
      </c>
      <c r="BY59" s="1014">
        <f>SUM(I59+N59+S59+X59+AC59+AH59+AM59+AU59+AZ59+BE59+BJ59+BO59+BT59+D59)</f>
        <v>0</v>
      </c>
      <c r="BZ59" s="519">
        <f t="shared" si="37"/>
        <v>0</v>
      </c>
      <c r="CA59" s="519">
        <f t="shared" si="37"/>
        <v>0</v>
      </c>
    </row>
    <row r="60" spans="1:79" s="519" customFormat="1" ht="15" customHeight="1">
      <c r="A60" s="1027" t="s">
        <v>737</v>
      </c>
      <c r="B60" s="1023">
        <f t="shared" ref="B60:AO60" si="38">SUM(B47:B59)</f>
        <v>0</v>
      </c>
      <c r="C60" s="1023">
        <f t="shared" si="38"/>
        <v>0</v>
      </c>
      <c r="D60" s="1023">
        <f t="shared" si="38"/>
        <v>0</v>
      </c>
      <c r="E60" s="1023">
        <f t="shared" si="38"/>
        <v>0</v>
      </c>
      <c r="F60" s="1023">
        <f t="shared" si="38"/>
        <v>0</v>
      </c>
      <c r="G60" s="1023">
        <f t="shared" si="38"/>
        <v>0</v>
      </c>
      <c r="H60" s="1023">
        <f t="shared" si="38"/>
        <v>0</v>
      </c>
      <c r="I60" s="1023">
        <f t="shared" si="38"/>
        <v>0</v>
      </c>
      <c r="J60" s="1023">
        <f t="shared" si="38"/>
        <v>0</v>
      </c>
      <c r="K60" s="1023">
        <f t="shared" si="38"/>
        <v>0</v>
      </c>
      <c r="L60" s="1023">
        <f t="shared" si="38"/>
        <v>0</v>
      </c>
      <c r="M60" s="1023">
        <f t="shared" si="38"/>
        <v>0</v>
      </c>
      <c r="N60" s="1023">
        <f t="shared" si="38"/>
        <v>0</v>
      </c>
      <c r="O60" s="1023">
        <f t="shared" si="38"/>
        <v>0</v>
      </c>
      <c r="P60" s="1023">
        <f t="shared" si="38"/>
        <v>0</v>
      </c>
      <c r="Q60" s="1023">
        <f t="shared" si="38"/>
        <v>0</v>
      </c>
      <c r="R60" s="1023">
        <f t="shared" si="38"/>
        <v>0</v>
      </c>
      <c r="S60" s="1023">
        <f t="shared" si="38"/>
        <v>0</v>
      </c>
      <c r="T60" s="1023">
        <f t="shared" si="38"/>
        <v>0</v>
      </c>
      <c r="U60" s="1023">
        <f t="shared" si="38"/>
        <v>0</v>
      </c>
      <c r="V60" s="1023">
        <f t="shared" si="38"/>
        <v>0</v>
      </c>
      <c r="W60" s="1023">
        <f t="shared" si="38"/>
        <v>0</v>
      </c>
      <c r="X60" s="1023">
        <f t="shared" si="38"/>
        <v>0</v>
      </c>
      <c r="Y60" s="1023">
        <f t="shared" si="38"/>
        <v>0</v>
      </c>
      <c r="Z60" s="1023">
        <f t="shared" si="38"/>
        <v>0</v>
      </c>
      <c r="AA60" s="1023">
        <f t="shared" si="38"/>
        <v>0</v>
      </c>
      <c r="AB60" s="1023">
        <f t="shared" si="38"/>
        <v>0</v>
      </c>
      <c r="AC60" s="1023">
        <f t="shared" si="38"/>
        <v>0</v>
      </c>
      <c r="AD60" s="1023">
        <f t="shared" si="38"/>
        <v>0</v>
      </c>
      <c r="AE60" s="1023">
        <f t="shared" si="38"/>
        <v>0</v>
      </c>
      <c r="AF60" s="1023">
        <f t="shared" si="38"/>
        <v>0</v>
      </c>
      <c r="AG60" s="1023">
        <f t="shared" si="38"/>
        <v>0</v>
      </c>
      <c r="AH60" s="1023">
        <f t="shared" si="38"/>
        <v>0</v>
      </c>
      <c r="AI60" s="1023">
        <f t="shared" si="38"/>
        <v>0</v>
      </c>
      <c r="AJ60" s="1023">
        <f t="shared" si="38"/>
        <v>0</v>
      </c>
      <c r="AK60" s="1023">
        <f t="shared" si="38"/>
        <v>0</v>
      </c>
      <c r="AL60" s="1023">
        <f t="shared" si="38"/>
        <v>0</v>
      </c>
      <c r="AM60" s="1023">
        <f t="shared" si="38"/>
        <v>0</v>
      </c>
      <c r="AN60" s="1023">
        <f t="shared" si="38"/>
        <v>0</v>
      </c>
      <c r="AO60" s="1023">
        <f t="shared" si="38"/>
        <v>0</v>
      </c>
      <c r="AP60" s="1028"/>
      <c r="AQ60" s="1028"/>
      <c r="AR60" s="1028"/>
      <c r="AS60" s="1023">
        <f t="shared" ref="AS60:CA60" si="39">SUM(AS47:AS59)</f>
        <v>0</v>
      </c>
      <c r="AT60" s="1023">
        <f t="shared" si="39"/>
        <v>0</v>
      </c>
      <c r="AU60" s="1023">
        <f t="shared" si="39"/>
        <v>0</v>
      </c>
      <c r="AV60" s="1023">
        <f t="shared" si="39"/>
        <v>0</v>
      </c>
      <c r="AW60" s="1023">
        <f t="shared" si="39"/>
        <v>0</v>
      </c>
      <c r="AX60" s="1023">
        <f t="shared" si="39"/>
        <v>0</v>
      </c>
      <c r="AY60" s="1023">
        <f t="shared" si="39"/>
        <v>0</v>
      </c>
      <c r="AZ60" s="1023">
        <f t="shared" si="39"/>
        <v>0</v>
      </c>
      <c r="BA60" s="1023">
        <f t="shared" si="39"/>
        <v>0</v>
      </c>
      <c r="BB60" s="1023">
        <f t="shared" si="39"/>
        <v>0</v>
      </c>
      <c r="BC60" s="1023">
        <f t="shared" si="39"/>
        <v>0</v>
      </c>
      <c r="BD60" s="1023">
        <f t="shared" si="39"/>
        <v>0</v>
      </c>
      <c r="BE60" s="1023">
        <f t="shared" si="39"/>
        <v>0</v>
      </c>
      <c r="BF60" s="1023">
        <f t="shared" si="39"/>
        <v>0</v>
      </c>
      <c r="BG60" s="1023">
        <f t="shared" si="39"/>
        <v>0</v>
      </c>
      <c r="BH60" s="1023">
        <f t="shared" si="39"/>
        <v>0</v>
      </c>
      <c r="BI60" s="1023">
        <f t="shared" si="39"/>
        <v>0</v>
      </c>
      <c r="BJ60" s="1023">
        <f t="shared" si="39"/>
        <v>0</v>
      </c>
      <c r="BK60" s="1023">
        <f t="shared" si="39"/>
        <v>0</v>
      </c>
      <c r="BL60" s="1023">
        <f t="shared" si="39"/>
        <v>0</v>
      </c>
      <c r="BM60" s="1023">
        <f t="shared" si="39"/>
        <v>0</v>
      </c>
      <c r="BN60" s="1023">
        <f t="shared" si="39"/>
        <v>0</v>
      </c>
      <c r="BO60" s="1023">
        <f t="shared" si="39"/>
        <v>0</v>
      </c>
      <c r="BP60" s="1023">
        <f t="shared" si="39"/>
        <v>0</v>
      </c>
      <c r="BQ60" s="1023">
        <f t="shared" si="39"/>
        <v>0</v>
      </c>
      <c r="BR60" s="1023">
        <f t="shared" si="39"/>
        <v>0</v>
      </c>
      <c r="BS60" s="1023">
        <f t="shared" si="39"/>
        <v>0</v>
      </c>
      <c r="BT60" s="1023">
        <f t="shared" si="39"/>
        <v>0</v>
      </c>
      <c r="BU60" s="1023">
        <f t="shared" si="39"/>
        <v>0</v>
      </c>
      <c r="BV60" s="1023">
        <f t="shared" si="39"/>
        <v>0</v>
      </c>
      <c r="BW60" s="1023">
        <f t="shared" si="39"/>
        <v>0</v>
      </c>
      <c r="BX60" s="1023">
        <f t="shared" si="39"/>
        <v>0</v>
      </c>
      <c r="BY60" s="1023">
        <f t="shared" si="39"/>
        <v>0</v>
      </c>
      <c r="BZ60" s="1023">
        <f t="shared" si="39"/>
        <v>0</v>
      </c>
      <c r="CA60" s="1023">
        <f t="shared" si="39"/>
        <v>0</v>
      </c>
    </row>
    <row r="61" spans="1:79" s="519" customFormat="1" ht="15" customHeight="1">
      <c r="A61" s="334" t="s">
        <v>738</v>
      </c>
      <c r="B61" s="1029">
        <f t="shared" ref="B61:AO61" si="40">SUM(B46+B60)</f>
        <v>21147000</v>
      </c>
      <c r="C61" s="1030">
        <f t="shared" si="40"/>
        <v>24061814</v>
      </c>
      <c r="D61" s="1030">
        <f t="shared" si="40"/>
        <v>6588726</v>
      </c>
      <c r="E61" s="1030">
        <f t="shared" si="40"/>
        <v>41751696</v>
      </c>
      <c r="F61" s="1030">
        <f t="shared" si="40"/>
        <v>41200337</v>
      </c>
      <c r="G61" s="1030">
        <f t="shared" si="40"/>
        <v>28906497</v>
      </c>
      <c r="H61" s="1030">
        <f t="shared" si="40"/>
        <v>47779887</v>
      </c>
      <c r="I61" s="1030">
        <f t="shared" si="40"/>
        <v>5591077</v>
      </c>
      <c r="J61" s="1030">
        <f t="shared" si="40"/>
        <v>66968323</v>
      </c>
      <c r="K61" s="1030">
        <f t="shared" si="40"/>
        <v>66504703</v>
      </c>
      <c r="L61" s="1030">
        <f t="shared" si="40"/>
        <v>98258976</v>
      </c>
      <c r="M61" s="1030">
        <f t="shared" si="40"/>
        <v>110500381</v>
      </c>
      <c r="N61" s="1030">
        <f t="shared" si="40"/>
        <v>18579796</v>
      </c>
      <c r="O61" s="1030">
        <f t="shared" si="40"/>
        <v>147186543</v>
      </c>
      <c r="P61" s="1030">
        <f t="shared" si="40"/>
        <v>144689931</v>
      </c>
      <c r="Q61" s="1030">
        <f t="shared" si="40"/>
        <v>37668032</v>
      </c>
      <c r="R61" s="1030">
        <f t="shared" si="40"/>
        <v>43701520</v>
      </c>
      <c r="S61" s="1030">
        <f t="shared" si="40"/>
        <v>7714990</v>
      </c>
      <c r="T61" s="1030">
        <f t="shared" si="40"/>
        <v>59146596</v>
      </c>
      <c r="U61" s="1030">
        <f t="shared" si="40"/>
        <v>58121681</v>
      </c>
      <c r="V61" s="1030">
        <f t="shared" si="40"/>
        <v>84028583</v>
      </c>
      <c r="W61" s="1030">
        <f t="shared" si="40"/>
        <v>85519890</v>
      </c>
      <c r="X61" s="1030">
        <f t="shared" si="40"/>
        <v>-16340000</v>
      </c>
      <c r="Y61" s="1030">
        <f t="shared" si="40"/>
        <v>83154966</v>
      </c>
      <c r="Z61" s="1030">
        <f t="shared" si="40"/>
        <v>81930534</v>
      </c>
      <c r="AA61" s="1030">
        <f t="shared" si="40"/>
        <v>70417377</v>
      </c>
      <c r="AB61" s="1030">
        <f t="shared" si="40"/>
        <v>81227493</v>
      </c>
      <c r="AC61" s="1030">
        <f t="shared" si="40"/>
        <v>-29730000</v>
      </c>
      <c r="AD61" s="1030">
        <f t="shared" si="40"/>
        <v>62355459</v>
      </c>
      <c r="AE61" s="1030">
        <f t="shared" si="40"/>
        <v>61378324</v>
      </c>
      <c r="AF61" s="1030">
        <f t="shared" si="40"/>
        <v>63545636</v>
      </c>
      <c r="AG61" s="1030">
        <f t="shared" si="40"/>
        <v>81354113</v>
      </c>
      <c r="AH61" s="1030">
        <f t="shared" si="40"/>
        <v>-18350361</v>
      </c>
      <c r="AI61" s="1030">
        <f t="shared" si="40"/>
        <v>82874688</v>
      </c>
      <c r="AJ61" s="1030">
        <f t="shared" si="40"/>
        <v>82275158</v>
      </c>
      <c r="AK61" s="1030">
        <f t="shared" si="40"/>
        <v>31550000</v>
      </c>
      <c r="AL61" s="1030">
        <f t="shared" si="40"/>
        <v>33788840</v>
      </c>
      <c r="AM61" s="1030">
        <f t="shared" si="40"/>
        <v>0</v>
      </c>
      <c r="AN61" s="1030">
        <f t="shared" si="40"/>
        <v>14581081</v>
      </c>
      <c r="AO61" s="1031">
        <f t="shared" si="40"/>
        <v>14581081</v>
      </c>
      <c r="AP61" s="1023"/>
      <c r="AQ61" s="1023">
        <v>48405139</v>
      </c>
      <c r="AR61" s="1023">
        <f t="shared" ref="AR61:CA61" si="41">SUM(AR46+AR60)</f>
        <v>46745862</v>
      </c>
      <c r="AS61" s="1029">
        <f t="shared" si="41"/>
        <v>128691244</v>
      </c>
      <c r="AT61" s="1030">
        <f t="shared" si="41"/>
        <v>130061196</v>
      </c>
      <c r="AU61" s="1030">
        <f t="shared" si="41"/>
        <v>-61130000</v>
      </c>
      <c r="AV61" s="1030">
        <f t="shared" si="41"/>
        <v>91747205</v>
      </c>
      <c r="AW61" s="1030">
        <f t="shared" si="41"/>
        <v>90825521</v>
      </c>
      <c r="AX61" s="1030">
        <f t="shared" si="41"/>
        <v>82467956</v>
      </c>
      <c r="AY61" s="1030">
        <f t="shared" si="41"/>
        <v>57477379</v>
      </c>
      <c r="AZ61" s="1030">
        <f t="shared" si="41"/>
        <v>18261722</v>
      </c>
      <c r="BA61" s="1030">
        <f t="shared" si="41"/>
        <v>96510944</v>
      </c>
      <c r="BB61" s="1030">
        <f t="shared" si="41"/>
        <v>95400536</v>
      </c>
      <c r="BC61" s="1030">
        <f t="shared" si="41"/>
        <v>88383570</v>
      </c>
      <c r="BD61" s="1030">
        <f t="shared" si="41"/>
        <v>92887382</v>
      </c>
      <c r="BE61" s="1030">
        <f t="shared" si="41"/>
        <v>9700000</v>
      </c>
      <c r="BF61" s="1030">
        <f t="shared" si="41"/>
        <v>113704748</v>
      </c>
      <c r="BG61" s="1030">
        <f t="shared" si="41"/>
        <v>111678335</v>
      </c>
      <c r="BH61" s="1030">
        <f t="shared" si="41"/>
        <v>17530000</v>
      </c>
      <c r="BI61" s="1030">
        <f t="shared" si="41"/>
        <v>17929656</v>
      </c>
      <c r="BJ61" s="1030">
        <f t="shared" si="41"/>
        <v>-149896</v>
      </c>
      <c r="BK61" s="1030">
        <f t="shared" si="41"/>
        <v>20212899</v>
      </c>
      <c r="BL61" s="1030">
        <f t="shared" si="41"/>
        <v>18677784</v>
      </c>
      <c r="BM61" s="1030">
        <f t="shared" si="41"/>
        <v>140937544</v>
      </c>
      <c r="BN61" s="1030">
        <f t="shared" si="41"/>
        <v>146063166</v>
      </c>
      <c r="BO61" s="1030">
        <f t="shared" si="41"/>
        <v>-17563324</v>
      </c>
      <c r="BP61" s="1030">
        <f t="shared" si="41"/>
        <v>150231489</v>
      </c>
      <c r="BQ61" s="1030">
        <f t="shared" si="41"/>
        <v>147970901</v>
      </c>
      <c r="BR61" s="1030">
        <f t="shared" si="41"/>
        <v>38377417</v>
      </c>
      <c r="BS61" s="1030">
        <f t="shared" si="41"/>
        <v>42045830</v>
      </c>
      <c r="BT61" s="1030">
        <f t="shared" si="41"/>
        <v>15715185</v>
      </c>
      <c r="BU61" s="1030">
        <f t="shared" si="41"/>
        <v>68802437</v>
      </c>
      <c r="BV61" s="1030">
        <f t="shared" si="41"/>
        <v>68775861</v>
      </c>
      <c r="BW61" s="1030">
        <f t="shared" si="41"/>
        <v>931909832</v>
      </c>
      <c r="BX61" s="1030">
        <f t="shared" si="41"/>
        <v>994398547</v>
      </c>
      <c r="BY61" s="1030">
        <f t="shared" si="41"/>
        <v>-61112085</v>
      </c>
      <c r="BZ61" s="1030">
        <f t="shared" si="41"/>
        <v>1147634213</v>
      </c>
      <c r="CA61" s="1030">
        <f t="shared" si="41"/>
        <v>1130756549</v>
      </c>
    </row>
    <row r="62" spans="1:79" s="633" customFormat="1" ht="15" customHeight="1">
      <c r="A62" s="332" t="s">
        <v>739</v>
      </c>
      <c r="B62" s="404"/>
      <c r="C62" s="404"/>
      <c r="D62" s="404"/>
      <c r="E62" s="404"/>
      <c r="F62" s="1010">
        <f>C62-B62</f>
        <v>0</v>
      </c>
      <c r="G62" s="404"/>
      <c r="H62" s="404"/>
      <c r="I62" s="404"/>
      <c r="J62" s="404"/>
      <c r="K62" s="404"/>
      <c r="L62" s="404"/>
      <c r="M62" s="404"/>
      <c r="N62" s="404"/>
      <c r="O62" s="404"/>
      <c r="P62" s="404"/>
      <c r="Q62" s="404"/>
      <c r="R62" s="404"/>
      <c r="S62" s="404"/>
      <c r="T62" s="404"/>
      <c r="U62" s="404"/>
      <c r="V62" s="404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4"/>
      <c r="AH62" s="404"/>
      <c r="AI62" s="404"/>
      <c r="AJ62" s="404"/>
      <c r="AK62" s="404"/>
      <c r="AL62" s="404"/>
      <c r="AM62" s="404"/>
      <c r="AN62" s="404"/>
      <c r="AO62" s="404"/>
      <c r="AP62" s="404"/>
      <c r="AQ62" s="404"/>
      <c r="AR62" s="404"/>
      <c r="AS62" s="404"/>
      <c r="AT62" s="404"/>
      <c r="AU62" s="404"/>
      <c r="AV62" s="404"/>
      <c r="AW62" s="404"/>
      <c r="AX62" s="404"/>
      <c r="AY62" s="404"/>
      <c r="AZ62" s="404"/>
      <c r="BA62" s="404"/>
      <c r="BB62" s="404"/>
      <c r="BC62" s="404"/>
      <c r="BD62" s="404"/>
      <c r="BE62" s="404"/>
      <c r="BF62" s="404"/>
      <c r="BG62" s="404"/>
      <c r="BH62" s="404"/>
      <c r="BI62" s="404"/>
      <c r="BJ62" s="404"/>
      <c r="BK62" s="404"/>
      <c r="BL62" s="404"/>
      <c r="BM62" s="404"/>
      <c r="BN62" s="404"/>
      <c r="BO62" s="404"/>
      <c r="BP62" s="404"/>
      <c r="BQ62" s="404"/>
      <c r="BR62" s="404"/>
      <c r="BS62" s="404"/>
      <c r="BT62" s="404"/>
      <c r="BU62" s="404"/>
      <c r="BV62" s="404"/>
      <c r="BW62" s="1013">
        <f t="shared" ref="BW62:BW76" si="42">SUM(B62+G62+L62+Q62+V62+AA62+AF62+AK62+AS62+AX62+BC62+BH62+BM62+BR62+AP62)</f>
        <v>0</v>
      </c>
      <c r="BX62" s="1013">
        <f t="shared" ref="BX62:BX69" si="43">SUM(C62+H62+M62+R62+W62+AB62+AG62+AL62+AT62+AY62+BD62+BI62+BN62+BS62)</f>
        <v>0</v>
      </c>
      <c r="BY62" s="1014">
        <f t="shared" ref="BY62:BY69" si="44">SUM(I62+N62+S62+X62+AC62+AH62+AM62+AU62+AZ62+BE62+BJ62+BO62+BT62+D62)</f>
        <v>0</v>
      </c>
      <c r="BZ62" s="809">
        <f t="shared" ref="BZ62:BZ76" si="45">SUM(E62+J62+O62+T62+Y62+AD62+AI62+AN62+AV62+BA62+BF62+BK62+BP62+BU62+AQ62)</f>
        <v>0</v>
      </c>
      <c r="CA62" s="809">
        <f t="shared" ref="CA62:CA76" si="46">SUM(F62+K62+P62+U62+Z62+AE62+AJ62+AO62+AW62+BB62+BG62+BL62+BQ62+BV62+AR62)</f>
        <v>0</v>
      </c>
    </row>
    <row r="63" spans="1:79" s="633" customFormat="1" ht="15" hidden="1" customHeight="1">
      <c r="A63" s="633" t="s">
        <v>740</v>
      </c>
      <c r="D63" s="1018"/>
      <c r="E63" s="1010">
        <f>SUM(C63+D63)</f>
        <v>0</v>
      </c>
      <c r="F63" s="1010">
        <f>C63-B63</f>
        <v>0</v>
      </c>
      <c r="I63" s="1018"/>
      <c r="J63" s="1010">
        <f t="shared" ref="J63:J69" si="47">SUM(H63+I63)</f>
        <v>0</v>
      </c>
      <c r="K63" s="1010">
        <f>H63-G63</f>
        <v>0</v>
      </c>
      <c r="N63" s="1018"/>
      <c r="O63" s="1010">
        <f t="shared" ref="O63:O69" si="48">SUM(M63+N63)</f>
        <v>0</v>
      </c>
      <c r="P63" s="1010">
        <f>M63-L63</f>
        <v>0</v>
      </c>
      <c r="S63" s="1018"/>
      <c r="T63" s="1010">
        <f t="shared" ref="T63:T69" si="49">SUM(R63+S63)</f>
        <v>0</v>
      </c>
      <c r="U63" s="1010">
        <f>R63-Q63</f>
        <v>0</v>
      </c>
      <c r="X63" s="1018"/>
      <c r="Y63" s="1010">
        <f t="shared" ref="Y63:Y69" si="50">SUM(W63+X63)</f>
        <v>0</v>
      </c>
      <c r="Z63" s="1010">
        <f>W63-V63</f>
        <v>0</v>
      </c>
      <c r="AC63" s="1018"/>
      <c r="AD63" s="1010">
        <f t="shared" ref="AD63:AD69" si="51">SUM(AB63+AC63)</f>
        <v>0</v>
      </c>
      <c r="AE63" s="1010">
        <f>AB63-AA63</f>
        <v>0</v>
      </c>
      <c r="AH63" s="1018"/>
      <c r="AI63" s="1010">
        <f t="shared" ref="AI63:AI69" si="52">SUM(AG63+AH63)</f>
        <v>0</v>
      </c>
      <c r="AJ63" s="1010">
        <f>AG63-AF63</f>
        <v>0</v>
      </c>
      <c r="AM63" s="1018"/>
      <c r="AN63" s="1010">
        <f t="shared" ref="AN63:AN69" si="53">SUM(AL63+AM63)</f>
        <v>0</v>
      </c>
      <c r="AO63" s="1010">
        <f>AL63-AK63</f>
        <v>0</v>
      </c>
      <c r="AP63" s="1010"/>
      <c r="AQ63" s="1010"/>
      <c r="AR63" s="1010"/>
      <c r="AU63" s="1018"/>
      <c r="AV63" s="1010">
        <f t="shared" ref="AV63:AV69" si="54">SUM(AT63+AU63)</f>
        <v>0</v>
      </c>
      <c r="AW63" s="1010">
        <f>AT63-AS63</f>
        <v>0</v>
      </c>
      <c r="AZ63" s="1018"/>
      <c r="BA63" s="1010">
        <f t="shared" ref="BA63:BA69" si="55">SUM(AY63+AZ63)</f>
        <v>0</v>
      </c>
      <c r="BB63" s="1010">
        <f>AY63-AX63</f>
        <v>0</v>
      </c>
      <c r="BE63" s="1018"/>
      <c r="BF63" s="1010">
        <f t="shared" ref="BF63:BF69" si="56">SUM(BD63+BE63)</f>
        <v>0</v>
      </c>
      <c r="BG63" s="1010">
        <f>BD63-BC63</f>
        <v>0</v>
      </c>
      <c r="BJ63" s="1018"/>
      <c r="BK63" s="1010">
        <f t="shared" ref="BK63:BK69" si="57">SUM(BI63+BJ63)</f>
        <v>0</v>
      </c>
      <c r="BL63" s="1010">
        <f>BI63-BH63</f>
        <v>0</v>
      </c>
      <c r="BO63" s="1018"/>
      <c r="BP63" s="1010">
        <f t="shared" ref="BP63:BP69" si="58">SUM(BN63+BO63)</f>
        <v>0</v>
      </c>
      <c r="BQ63" s="1010">
        <f>BN63-BM63</f>
        <v>0</v>
      </c>
      <c r="BT63" s="1018"/>
      <c r="BU63" s="1010">
        <f t="shared" ref="BU63:BU69" si="59">SUM(BS63+BT63)</f>
        <v>0</v>
      </c>
      <c r="BV63" s="1010">
        <f>BS63-BR63</f>
        <v>0</v>
      </c>
      <c r="BW63" s="1013">
        <f t="shared" si="42"/>
        <v>0</v>
      </c>
      <c r="BX63" s="1013">
        <f t="shared" si="43"/>
        <v>0</v>
      </c>
      <c r="BY63" s="1014">
        <f t="shared" si="44"/>
        <v>0</v>
      </c>
      <c r="BZ63" s="1015">
        <f t="shared" si="45"/>
        <v>0</v>
      </c>
      <c r="CA63" s="1015">
        <f t="shared" si="46"/>
        <v>0</v>
      </c>
    </row>
    <row r="64" spans="1:79" s="633" customFormat="1" ht="15" customHeight="1">
      <c r="A64" s="633" t="s">
        <v>741</v>
      </c>
      <c r="C64" s="1032"/>
      <c r="D64" s="1018"/>
      <c r="E64" s="1010">
        <f>SUM(C64+D64)</f>
        <v>0</v>
      </c>
      <c r="F64" s="1010"/>
      <c r="H64" s="1032"/>
      <c r="I64" s="1018"/>
      <c r="J64" s="1010">
        <f t="shared" si="47"/>
        <v>0</v>
      </c>
      <c r="K64" s="1010"/>
      <c r="M64" s="1032"/>
      <c r="N64" s="1018"/>
      <c r="O64" s="1010">
        <f t="shared" si="48"/>
        <v>0</v>
      </c>
      <c r="P64" s="1010"/>
      <c r="R64" s="1032"/>
      <c r="S64" s="1018"/>
      <c r="T64" s="1010">
        <f t="shared" si="49"/>
        <v>0</v>
      </c>
      <c r="U64" s="1010"/>
      <c r="W64" s="1032"/>
      <c r="X64" s="1018"/>
      <c r="Y64" s="1010">
        <f t="shared" si="50"/>
        <v>0</v>
      </c>
      <c r="Z64" s="1010"/>
      <c r="AB64" s="1032"/>
      <c r="AC64" s="1018"/>
      <c r="AD64" s="1010">
        <f t="shared" si="51"/>
        <v>0</v>
      </c>
      <c r="AE64" s="1010"/>
      <c r="AG64" s="1032"/>
      <c r="AH64" s="1018"/>
      <c r="AI64" s="1010">
        <f t="shared" si="52"/>
        <v>0</v>
      </c>
      <c r="AJ64" s="1010"/>
      <c r="AL64" s="1032"/>
      <c r="AM64" s="1018"/>
      <c r="AN64" s="1010">
        <f t="shared" si="53"/>
        <v>0</v>
      </c>
      <c r="AO64" s="1010"/>
      <c r="AP64" s="1010"/>
      <c r="AQ64" s="1010">
        <v>0</v>
      </c>
      <c r="AR64" s="1010"/>
      <c r="AT64" s="1032"/>
      <c r="AU64" s="1018"/>
      <c r="AV64" s="1010">
        <f t="shared" si="54"/>
        <v>0</v>
      </c>
      <c r="AW64" s="1010"/>
      <c r="AY64" s="1032"/>
      <c r="AZ64" s="1018"/>
      <c r="BA64" s="1010">
        <f t="shared" si="55"/>
        <v>0</v>
      </c>
      <c r="BB64" s="1010"/>
      <c r="BD64" s="1032"/>
      <c r="BE64" s="1018"/>
      <c r="BF64" s="1010">
        <f t="shared" si="56"/>
        <v>0</v>
      </c>
      <c r="BG64" s="1010"/>
      <c r="BI64" s="1032"/>
      <c r="BJ64" s="1018"/>
      <c r="BK64" s="1010">
        <f t="shared" si="57"/>
        <v>0</v>
      </c>
      <c r="BL64" s="1010"/>
      <c r="BN64" s="1032"/>
      <c r="BO64" s="1018"/>
      <c r="BP64" s="1010">
        <f t="shared" si="58"/>
        <v>0</v>
      </c>
      <c r="BQ64" s="1010"/>
      <c r="BS64" s="1032"/>
      <c r="BT64" s="1018"/>
      <c r="BU64" s="1010">
        <f t="shared" si="59"/>
        <v>0</v>
      </c>
      <c r="BV64" s="1010"/>
      <c r="BW64" s="1013">
        <f t="shared" si="42"/>
        <v>0</v>
      </c>
      <c r="BX64" s="1013">
        <f t="shared" si="43"/>
        <v>0</v>
      </c>
      <c r="BY64" s="1014">
        <f t="shared" si="44"/>
        <v>0</v>
      </c>
      <c r="BZ64" s="1015">
        <f t="shared" si="45"/>
        <v>0</v>
      </c>
      <c r="CA64" s="1015">
        <f t="shared" si="46"/>
        <v>0</v>
      </c>
    </row>
    <row r="65" spans="1:79" s="415" customFormat="1" ht="15" hidden="1" customHeight="1">
      <c r="A65" s="321" t="s">
        <v>742</v>
      </c>
      <c r="B65" s="321"/>
      <c r="C65" s="1019"/>
      <c r="D65" s="1021"/>
      <c r="E65" s="1010">
        <f>SUM(C65+D65)</f>
        <v>0</v>
      </c>
      <c r="F65" s="1010"/>
      <c r="G65" s="321"/>
      <c r="H65" s="1019"/>
      <c r="I65" s="1021"/>
      <c r="J65" s="1010">
        <f t="shared" si="47"/>
        <v>0</v>
      </c>
      <c r="K65" s="1010"/>
      <c r="L65" s="321"/>
      <c r="M65" s="1019"/>
      <c r="N65" s="1021"/>
      <c r="O65" s="1010">
        <f t="shared" si="48"/>
        <v>0</v>
      </c>
      <c r="P65" s="1010"/>
      <c r="Q65" s="321"/>
      <c r="R65" s="1019"/>
      <c r="S65" s="1021"/>
      <c r="T65" s="1010">
        <f t="shared" si="49"/>
        <v>0</v>
      </c>
      <c r="U65" s="1010"/>
      <c r="V65" s="321"/>
      <c r="W65" s="1019"/>
      <c r="X65" s="1021"/>
      <c r="Y65" s="1010">
        <f t="shared" si="50"/>
        <v>0</v>
      </c>
      <c r="Z65" s="1010"/>
      <c r="AA65" s="321"/>
      <c r="AB65" s="1019"/>
      <c r="AC65" s="1021"/>
      <c r="AD65" s="1010">
        <f t="shared" si="51"/>
        <v>0</v>
      </c>
      <c r="AE65" s="1010"/>
      <c r="AF65" s="321"/>
      <c r="AG65" s="1019"/>
      <c r="AH65" s="1021"/>
      <c r="AI65" s="1010">
        <f t="shared" si="52"/>
        <v>0</v>
      </c>
      <c r="AJ65" s="1010"/>
      <c r="AK65" s="321"/>
      <c r="AL65" s="1019"/>
      <c r="AM65" s="1021"/>
      <c r="AN65" s="1010">
        <f t="shared" si="53"/>
        <v>0</v>
      </c>
      <c r="AO65" s="1010"/>
      <c r="AP65" s="1010"/>
      <c r="AQ65" s="1010"/>
      <c r="AR65" s="1010"/>
      <c r="AS65" s="321"/>
      <c r="AT65" s="1019"/>
      <c r="AU65" s="1021"/>
      <c r="AV65" s="1010">
        <f t="shared" si="54"/>
        <v>0</v>
      </c>
      <c r="AW65" s="1010"/>
      <c r="AX65" s="321"/>
      <c r="AY65" s="1019"/>
      <c r="AZ65" s="1021"/>
      <c r="BA65" s="1010">
        <f t="shared" si="55"/>
        <v>0</v>
      </c>
      <c r="BB65" s="1010"/>
      <c r="BC65" s="321"/>
      <c r="BD65" s="1019"/>
      <c r="BE65" s="1021"/>
      <c r="BF65" s="1010">
        <f t="shared" si="56"/>
        <v>0</v>
      </c>
      <c r="BG65" s="1010"/>
      <c r="BH65" s="321"/>
      <c r="BI65" s="1019"/>
      <c r="BJ65" s="1021"/>
      <c r="BK65" s="1010">
        <f t="shared" si="57"/>
        <v>0</v>
      </c>
      <c r="BL65" s="1010"/>
      <c r="BM65" s="321"/>
      <c r="BN65" s="1019"/>
      <c r="BO65" s="1021"/>
      <c r="BP65" s="1010">
        <f t="shared" si="58"/>
        <v>0</v>
      </c>
      <c r="BQ65" s="1010"/>
      <c r="BR65" s="321"/>
      <c r="BS65" s="1019"/>
      <c r="BT65" s="1021"/>
      <c r="BU65" s="1010">
        <f t="shared" si="59"/>
        <v>0</v>
      </c>
      <c r="BV65" s="1010"/>
      <c r="BW65" s="1013">
        <f t="shared" si="42"/>
        <v>0</v>
      </c>
      <c r="BX65" s="1013">
        <f t="shared" si="43"/>
        <v>0</v>
      </c>
      <c r="BY65" s="1014">
        <f t="shared" si="44"/>
        <v>0</v>
      </c>
      <c r="BZ65" s="1015">
        <f t="shared" si="45"/>
        <v>0</v>
      </c>
      <c r="CA65" s="1015">
        <f t="shared" si="46"/>
        <v>0</v>
      </c>
    </row>
    <row r="66" spans="1:79" s="633" customFormat="1" ht="15" hidden="1" customHeight="1">
      <c r="A66" s="633" t="s">
        <v>743</v>
      </c>
      <c r="C66" s="1032"/>
      <c r="D66" s="1018"/>
      <c r="E66" s="1010">
        <f>SUM(C66+D66)</f>
        <v>0</v>
      </c>
      <c r="F66" s="1010"/>
      <c r="H66" s="1032"/>
      <c r="I66" s="1018"/>
      <c r="J66" s="1010">
        <f t="shared" si="47"/>
        <v>0</v>
      </c>
      <c r="K66" s="1010"/>
      <c r="M66" s="1032"/>
      <c r="N66" s="1018"/>
      <c r="O66" s="1010">
        <f t="shared" si="48"/>
        <v>0</v>
      </c>
      <c r="P66" s="1010"/>
      <c r="R66" s="1032"/>
      <c r="S66" s="1018"/>
      <c r="T66" s="1010">
        <f t="shared" si="49"/>
        <v>0</v>
      </c>
      <c r="U66" s="1010"/>
      <c r="W66" s="1032"/>
      <c r="X66" s="1018"/>
      <c r="Y66" s="1010">
        <f t="shared" si="50"/>
        <v>0</v>
      </c>
      <c r="Z66" s="1010"/>
      <c r="AB66" s="1032"/>
      <c r="AC66" s="1018"/>
      <c r="AD66" s="1010">
        <f t="shared" si="51"/>
        <v>0</v>
      </c>
      <c r="AE66" s="1010"/>
      <c r="AG66" s="1032"/>
      <c r="AH66" s="1018"/>
      <c r="AI66" s="1010">
        <f t="shared" si="52"/>
        <v>0</v>
      </c>
      <c r="AJ66" s="1010"/>
      <c r="AL66" s="1032"/>
      <c r="AM66" s="1018"/>
      <c r="AN66" s="1010">
        <f t="shared" si="53"/>
        <v>0</v>
      </c>
      <c r="AO66" s="1010"/>
      <c r="AP66" s="1010"/>
      <c r="AQ66" s="1010"/>
      <c r="AR66" s="1010"/>
      <c r="AT66" s="1032"/>
      <c r="AU66" s="1018"/>
      <c r="AV66" s="1010">
        <f t="shared" si="54"/>
        <v>0</v>
      </c>
      <c r="AW66" s="1010"/>
      <c r="AY66" s="1032"/>
      <c r="AZ66" s="1018"/>
      <c r="BA66" s="1010">
        <f t="shared" si="55"/>
        <v>0</v>
      </c>
      <c r="BB66" s="1010"/>
      <c r="BD66" s="1032"/>
      <c r="BE66" s="1018"/>
      <c r="BF66" s="1010">
        <f t="shared" si="56"/>
        <v>0</v>
      </c>
      <c r="BG66" s="1010"/>
      <c r="BI66" s="1032"/>
      <c r="BJ66" s="1018"/>
      <c r="BK66" s="1010">
        <f t="shared" si="57"/>
        <v>0</v>
      </c>
      <c r="BL66" s="1010"/>
      <c r="BN66" s="1032"/>
      <c r="BO66" s="1018"/>
      <c r="BP66" s="1010">
        <f t="shared" si="58"/>
        <v>0</v>
      </c>
      <c r="BQ66" s="1010"/>
      <c r="BS66" s="1032"/>
      <c r="BT66" s="1018"/>
      <c r="BU66" s="1010">
        <f t="shared" si="59"/>
        <v>0</v>
      </c>
      <c r="BV66" s="1010"/>
      <c r="BW66" s="1013">
        <f t="shared" si="42"/>
        <v>0</v>
      </c>
      <c r="BX66" s="1013">
        <f t="shared" si="43"/>
        <v>0</v>
      </c>
      <c r="BY66" s="1014">
        <f t="shared" si="44"/>
        <v>0</v>
      </c>
      <c r="BZ66" s="1015">
        <f t="shared" si="45"/>
        <v>0</v>
      </c>
      <c r="CA66" s="1015">
        <f t="shared" si="46"/>
        <v>0</v>
      </c>
    </row>
    <row r="67" spans="1:79" s="415" customFormat="1" ht="15" customHeight="1">
      <c r="A67" s="404" t="s">
        <v>744</v>
      </c>
      <c r="B67" s="404"/>
      <c r="C67" s="589"/>
      <c r="D67" s="1033"/>
      <c r="E67" s="1010">
        <f>SUM(C67+D67)</f>
        <v>0</v>
      </c>
      <c r="F67" s="1010"/>
      <c r="G67" s="404"/>
      <c r="H67" s="589"/>
      <c r="I67" s="1033"/>
      <c r="J67" s="1010">
        <f t="shared" si="47"/>
        <v>0</v>
      </c>
      <c r="K67" s="1010"/>
      <c r="L67" s="404"/>
      <c r="M67" s="589"/>
      <c r="N67" s="1033"/>
      <c r="O67" s="1010">
        <f t="shared" si="48"/>
        <v>0</v>
      </c>
      <c r="P67" s="1010"/>
      <c r="Q67" s="404"/>
      <c r="R67" s="589"/>
      <c r="S67" s="1033"/>
      <c r="T67" s="1010">
        <f t="shared" si="49"/>
        <v>0</v>
      </c>
      <c r="U67" s="1010"/>
      <c r="V67" s="404"/>
      <c r="W67" s="589"/>
      <c r="X67" s="1033"/>
      <c r="Y67" s="1010">
        <f t="shared" si="50"/>
        <v>0</v>
      </c>
      <c r="Z67" s="1010"/>
      <c r="AA67" s="404"/>
      <c r="AB67" s="589"/>
      <c r="AC67" s="1033"/>
      <c r="AD67" s="1010">
        <f t="shared" si="51"/>
        <v>0</v>
      </c>
      <c r="AE67" s="1010"/>
      <c r="AF67" s="404"/>
      <c r="AG67" s="589"/>
      <c r="AH67" s="1033"/>
      <c r="AI67" s="1010">
        <f t="shared" si="52"/>
        <v>0</v>
      </c>
      <c r="AJ67" s="1010"/>
      <c r="AK67" s="404"/>
      <c r="AL67" s="589"/>
      <c r="AM67" s="1033"/>
      <c r="AN67" s="1010">
        <f t="shared" si="53"/>
        <v>0</v>
      </c>
      <c r="AO67" s="1010"/>
      <c r="AP67" s="1010"/>
      <c r="AQ67" s="1010">
        <v>0</v>
      </c>
      <c r="AR67" s="1010"/>
      <c r="AS67" s="404"/>
      <c r="AT67" s="589"/>
      <c r="AU67" s="1033"/>
      <c r="AV67" s="1010">
        <f t="shared" si="54"/>
        <v>0</v>
      </c>
      <c r="AW67" s="1010"/>
      <c r="AX67" s="404"/>
      <c r="AY67" s="589"/>
      <c r="AZ67" s="1033"/>
      <c r="BA67" s="1010">
        <f t="shared" si="55"/>
        <v>0</v>
      </c>
      <c r="BB67" s="1010"/>
      <c r="BC67" s="404"/>
      <c r="BD67" s="589"/>
      <c r="BE67" s="1033"/>
      <c r="BF67" s="1010">
        <f t="shared" si="56"/>
        <v>0</v>
      </c>
      <c r="BG67" s="1010"/>
      <c r="BH67" s="404"/>
      <c r="BI67" s="589"/>
      <c r="BJ67" s="1033"/>
      <c r="BK67" s="1010">
        <f t="shared" si="57"/>
        <v>0</v>
      </c>
      <c r="BL67" s="1010"/>
      <c r="BM67" s="404"/>
      <c r="BN67" s="589"/>
      <c r="BO67" s="1033"/>
      <c r="BP67" s="1010">
        <f t="shared" si="58"/>
        <v>0</v>
      </c>
      <c r="BQ67" s="1010"/>
      <c r="BR67" s="404"/>
      <c r="BS67" s="589"/>
      <c r="BT67" s="1033"/>
      <c r="BU67" s="1010">
        <f t="shared" si="59"/>
        <v>0</v>
      </c>
      <c r="BV67" s="1010"/>
      <c r="BW67" s="1013">
        <f t="shared" si="42"/>
        <v>0</v>
      </c>
      <c r="BX67" s="1013">
        <f t="shared" si="43"/>
        <v>0</v>
      </c>
      <c r="BY67" s="1014">
        <f t="shared" si="44"/>
        <v>0</v>
      </c>
      <c r="BZ67" s="1015">
        <f t="shared" si="45"/>
        <v>0</v>
      </c>
      <c r="CA67" s="1015">
        <f t="shared" si="46"/>
        <v>0</v>
      </c>
    </row>
    <row r="68" spans="1:79" s="633" customFormat="1" ht="15" customHeight="1">
      <c r="A68" s="633" t="s">
        <v>745</v>
      </c>
      <c r="C68" s="1032"/>
      <c r="D68" s="1018"/>
      <c r="E68" s="1010">
        <v>10081316</v>
      </c>
      <c r="F68" s="1010">
        <v>10081316</v>
      </c>
      <c r="H68" s="1032"/>
      <c r="I68" s="1018"/>
      <c r="J68" s="1010">
        <f t="shared" si="47"/>
        <v>0</v>
      </c>
      <c r="K68" s="1010"/>
      <c r="M68" s="1032"/>
      <c r="N68" s="1018"/>
      <c r="O68" s="1010">
        <f t="shared" si="48"/>
        <v>0</v>
      </c>
      <c r="P68" s="1010"/>
      <c r="R68" s="1032"/>
      <c r="S68" s="1018"/>
      <c r="T68" s="1010">
        <f t="shared" si="49"/>
        <v>0</v>
      </c>
      <c r="U68" s="1010"/>
      <c r="W68" s="1032"/>
      <c r="X68" s="1018"/>
      <c r="Y68" s="1010">
        <f t="shared" si="50"/>
        <v>0</v>
      </c>
      <c r="Z68" s="1010"/>
      <c r="AB68" s="1032"/>
      <c r="AC68" s="1018"/>
      <c r="AD68" s="1010">
        <f t="shared" si="51"/>
        <v>0</v>
      </c>
      <c r="AE68" s="1010"/>
      <c r="AG68" s="1032"/>
      <c r="AH68" s="1018"/>
      <c r="AI68" s="1010">
        <f t="shared" si="52"/>
        <v>0</v>
      </c>
      <c r="AJ68" s="1010"/>
      <c r="AL68" s="1032"/>
      <c r="AM68" s="1018"/>
      <c r="AN68" s="1010">
        <f t="shared" si="53"/>
        <v>0</v>
      </c>
      <c r="AO68" s="1010"/>
      <c r="AP68" s="1010"/>
      <c r="AQ68" s="1010">
        <v>0</v>
      </c>
      <c r="AR68" s="1010"/>
      <c r="AT68" s="1032"/>
      <c r="AU68" s="1018"/>
      <c r="AV68" s="1010">
        <f t="shared" si="54"/>
        <v>0</v>
      </c>
      <c r="AW68" s="1010"/>
      <c r="AY68" s="1032"/>
      <c r="AZ68" s="1018"/>
      <c r="BA68" s="1010">
        <f t="shared" si="55"/>
        <v>0</v>
      </c>
      <c r="BB68" s="1010"/>
      <c r="BD68" s="1032"/>
      <c r="BE68" s="1018"/>
      <c r="BF68" s="1010">
        <f t="shared" si="56"/>
        <v>0</v>
      </c>
      <c r="BG68" s="1010"/>
      <c r="BI68" s="1032"/>
      <c r="BJ68" s="1018"/>
      <c r="BK68" s="1010">
        <f t="shared" si="57"/>
        <v>0</v>
      </c>
      <c r="BL68" s="1010"/>
      <c r="BN68" s="1032"/>
      <c r="BO68" s="1018"/>
      <c r="BP68" s="1010">
        <f t="shared" si="58"/>
        <v>0</v>
      </c>
      <c r="BQ68" s="1010"/>
      <c r="BS68" s="1032"/>
      <c r="BT68" s="1018"/>
      <c r="BU68" s="1010">
        <f t="shared" si="59"/>
        <v>0</v>
      </c>
      <c r="BV68" s="1010"/>
      <c r="BW68" s="1013">
        <f t="shared" si="42"/>
        <v>0</v>
      </c>
      <c r="BX68" s="1013">
        <f t="shared" si="43"/>
        <v>0</v>
      </c>
      <c r="BY68" s="1014">
        <f t="shared" si="44"/>
        <v>0</v>
      </c>
      <c r="BZ68" s="1015">
        <f t="shared" si="45"/>
        <v>10081316</v>
      </c>
      <c r="CA68" s="1015">
        <f t="shared" si="46"/>
        <v>10081316</v>
      </c>
    </row>
    <row r="69" spans="1:79" s="633" customFormat="1" ht="15" hidden="1" customHeight="1">
      <c r="A69" s="633" t="s">
        <v>746</v>
      </c>
      <c r="C69" s="1032"/>
      <c r="D69" s="1018"/>
      <c r="E69" s="1010">
        <f>SUM(C69+D69)</f>
        <v>0</v>
      </c>
      <c r="F69" s="1010"/>
      <c r="H69" s="1032"/>
      <c r="I69" s="1018"/>
      <c r="J69" s="1010">
        <f t="shared" si="47"/>
        <v>0</v>
      </c>
      <c r="K69" s="1010"/>
      <c r="M69" s="1032"/>
      <c r="N69" s="1018"/>
      <c r="O69" s="1010">
        <f t="shared" si="48"/>
        <v>0</v>
      </c>
      <c r="P69" s="1010"/>
      <c r="R69" s="1032"/>
      <c r="S69" s="1018"/>
      <c r="T69" s="1010">
        <f t="shared" si="49"/>
        <v>0</v>
      </c>
      <c r="U69" s="1010"/>
      <c r="W69" s="1032"/>
      <c r="X69" s="1018"/>
      <c r="Y69" s="1010">
        <f t="shared" si="50"/>
        <v>0</v>
      </c>
      <c r="Z69" s="1010"/>
      <c r="AB69" s="1032"/>
      <c r="AC69" s="1018"/>
      <c r="AD69" s="1010">
        <f t="shared" si="51"/>
        <v>0</v>
      </c>
      <c r="AE69" s="1010"/>
      <c r="AG69" s="1032"/>
      <c r="AH69" s="1018"/>
      <c r="AI69" s="1010">
        <f t="shared" si="52"/>
        <v>0</v>
      </c>
      <c r="AJ69" s="1010"/>
      <c r="AL69" s="1032"/>
      <c r="AM69" s="1018"/>
      <c r="AN69" s="1010">
        <f t="shared" si="53"/>
        <v>0</v>
      </c>
      <c r="AO69" s="1010"/>
      <c r="AP69" s="1010"/>
      <c r="AQ69" s="1010"/>
      <c r="AR69" s="1010"/>
      <c r="AT69" s="1032"/>
      <c r="AU69" s="1018"/>
      <c r="AV69" s="1010">
        <f t="shared" si="54"/>
        <v>0</v>
      </c>
      <c r="AW69" s="1010"/>
      <c r="AY69" s="1032"/>
      <c r="AZ69" s="1018"/>
      <c r="BA69" s="1010">
        <f t="shared" si="55"/>
        <v>0</v>
      </c>
      <c r="BB69" s="1010"/>
      <c r="BD69" s="1032"/>
      <c r="BE69" s="1018"/>
      <c r="BF69" s="1010">
        <f t="shared" si="56"/>
        <v>0</v>
      </c>
      <c r="BG69" s="1010"/>
      <c r="BI69" s="1032"/>
      <c r="BJ69" s="1018"/>
      <c r="BK69" s="1010">
        <f t="shared" si="57"/>
        <v>0</v>
      </c>
      <c r="BL69" s="1010"/>
      <c r="BN69" s="1032"/>
      <c r="BO69" s="1018"/>
      <c r="BP69" s="1010">
        <f t="shared" si="58"/>
        <v>0</v>
      </c>
      <c r="BQ69" s="1010"/>
      <c r="BS69" s="1032"/>
      <c r="BT69" s="1018"/>
      <c r="BU69" s="1010">
        <f t="shared" si="59"/>
        <v>0</v>
      </c>
      <c r="BV69" s="1010"/>
      <c r="BW69" s="1013">
        <f t="shared" si="42"/>
        <v>0</v>
      </c>
      <c r="BX69" s="1013">
        <f t="shared" si="43"/>
        <v>0</v>
      </c>
      <c r="BY69" s="1014">
        <f t="shared" si="44"/>
        <v>0</v>
      </c>
      <c r="BZ69" s="1015">
        <f t="shared" si="45"/>
        <v>0</v>
      </c>
      <c r="CA69" s="1015">
        <f t="shared" si="46"/>
        <v>0</v>
      </c>
    </row>
    <row r="70" spans="1:79" s="633" customFormat="1" ht="15" hidden="1" customHeight="1">
      <c r="A70" s="402" t="s">
        <v>747</v>
      </c>
      <c r="B70" s="404"/>
      <c r="C70" s="589"/>
      <c r="D70" s="1033"/>
      <c r="E70" s="1010"/>
      <c r="F70" s="1010"/>
      <c r="G70" s="1011"/>
      <c r="H70" s="589"/>
      <c r="I70" s="1034"/>
      <c r="J70" s="1010"/>
      <c r="K70" s="1010"/>
      <c r="L70" s="1011"/>
      <c r="M70" s="1011"/>
      <c r="N70" s="1033"/>
      <c r="O70" s="1010"/>
      <c r="P70" s="1010"/>
      <c r="Q70" s="404"/>
      <c r="R70" s="589"/>
      <c r="S70" s="1033"/>
      <c r="T70" s="1010"/>
      <c r="U70" s="1010"/>
      <c r="V70" s="1011"/>
      <c r="W70" s="1011"/>
      <c r="X70" s="1033"/>
      <c r="Y70" s="1010"/>
      <c r="Z70" s="1010"/>
      <c r="AA70" s="1011"/>
      <c r="AB70" s="1011"/>
      <c r="AC70" s="1034"/>
      <c r="AD70" s="1010"/>
      <c r="AE70" s="1010"/>
      <c r="AF70" s="1011"/>
      <c r="AG70" s="1011"/>
      <c r="AH70" s="1033"/>
      <c r="AI70" s="1010"/>
      <c r="AJ70" s="1010"/>
      <c r="AK70" s="404"/>
      <c r="AL70" s="589"/>
      <c r="AM70" s="1034"/>
      <c r="AN70" s="1010"/>
      <c r="AO70" s="1010"/>
      <c r="AP70" s="1010"/>
      <c r="AQ70" s="1010"/>
      <c r="AR70" s="1010"/>
      <c r="AS70" s="1011"/>
      <c r="AT70" s="1011"/>
      <c r="AU70" s="1033"/>
      <c r="AV70" s="1010"/>
      <c r="AW70" s="1010"/>
      <c r="AX70" s="1011"/>
      <c r="AY70" s="1011"/>
      <c r="AZ70" s="1033"/>
      <c r="BA70" s="1010"/>
      <c r="BB70" s="1010"/>
      <c r="BC70" s="1011"/>
      <c r="BD70" s="1011"/>
      <c r="BE70" s="1033"/>
      <c r="BF70" s="1010"/>
      <c r="BG70" s="1010"/>
      <c r="BH70" s="404"/>
      <c r="BI70" s="589"/>
      <c r="BJ70" s="1034"/>
      <c r="BK70" s="1010"/>
      <c r="BL70" s="1010"/>
      <c r="BM70" s="1011"/>
      <c r="BN70" s="1011"/>
      <c r="BO70" s="1033"/>
      <c r="BP70" s="1010"/>
      <c r="BQ70" s="1010"/>
      <c r="BR70" s="404"/>
      <c r="BS70" s="589"/>
      <c r="BT70" s="1034"/>
      <c r="BU70" s="1010"/>
      <c r="BV70" s="1010"/>
      <c r="BW70" s="1013">
        <f t="shared" si="42"/>
        <v>0</v>
      </c>
      <c r="BX70" s="1013"/>
      <c r="BY70" s="1014"/>
      <c r="BZ70" s="1015">
        <f t="shared" si="45"/>
        <v>0</v>
      </c>
      <c r="CA70" s="1015">
        <f t="shared" si="46"/>
        <v>0</v>
      </c>
    </row>
    <row r="71" spans="1:79" s="633" customFormat="1" ht="15" customHeight="1">
      <c r="A71" s="404" t="s">
        <v>748</v>
      </c>
      <c r="B71" s="404"/>
      <c r="C71" s="589"/>
      <c r="D71" s="1033"/>
      <c r="E71" s="1010">
        <f>SUM(C71+D71)</f>
        <v>0</v>
      </c>
      <c r="F71" s="1010"/>
      <c r="G71" s="1011"/>
      <c r="H71" s="589"/>
      <c r="I71" s="1034"/>
      <c r="J71" s="1010">
        <v>169645</v>
      </c>
      <c r="K71" s="1010">
        <v>169645</v>
      </c>
      <c r="L71" s="1011">
        <v>34323020</v>
      </c>
      <c r="M71" s="1011">
        <v>34323020</v>
      </c>
      <c r="N71" s="1033"/>
      <c r="O71" s="1010">
        <v>30469575</v>
      </c>
      <c r="P71" s="1010">
        <v>30469575</v>
      </c>
      <c r="Q71" s="404"/>
      <c r="R71" s="589"/>
      <c r="S71" s="1033"/>
      <c r="T71" s="1010">
        <f>SUM(R71+S71)</f>
        <v>0</v>
      </c>
      <c r="U71" s="1010"/>
      <c r="V71" s="1011">
        <v>22020530</v>
      </c>
      <c r="W71" s="1011">
        <v>22020530</v>
      </c>
      <c r="X71" s="1033"/>
      <c r="Y71" s="1010">
        <v>19881999</v>
      </c>
      <c r="Z71" s="1010">
        <v>19881999</v>
      </c>
      <c r="AA71" s="1011"/>
      <c r="AB71" s="1011"/>
      <c r="AC71" s="1034"/>
      <c r="AD71" s="1010">
        <v>328940</v>
      </c>
      <c r="AE71" s="1010">
        <v>328940</v>
      </c>
      <c r="AF71" s="1011">
        <v>12675000</v>
      </c>
      <c r="AG71" s="1011">
        <v>12675000</v>
      </c>
      <c r="AH71" s="1033"/>
      <c r="AI71" s="1010">
        <v>13297197</v>
      </c>
      <c r="AJ71" s="1010">
        <v>13297197</v>
      </c>
      <c r="AK71" s="404"/>
      <c r="AL71" s="589"/>
      <c r="AM71" s="1034"/>
      <c r="AN71" s="1010">
        <f>SUM(AL71+AM71)</f>
        <v>0</v>
      </c>
      <c r="AO71" s="1010"/>
      <c r="AP71" s="1010"/>
      <c r="AQ71" s="1010">
        <v>12380332</v>
      </c>
      <c r="AR71" s="1010">
        <v>12380332</v>
      </c>
      <c r="AS71" s="1011">
        <v>23121000</v>
      </c>
      <c r="AT71" s="1011">
        <v>23121000</v>
      </c>
      <c r="AU71" s="1033"/>
      <c r="AV71" s="1010">
        <v>22664301</v>
      </c>
      <c r="AW71" s="1010">
        <v>22664301</v>
      </c>
      <c r="AX71" s="1011">
        <v>10204450</v>
      </c>
      <c r="AY71" s="1011">
        <v>10204450</v>
      </c>
      <c r="AZ71" s="1033"/>
      <c r="BA71" s="1010">
        <v>8159512</v>
      </c>
      <c r="BB71" s="1010">
        <v>8159512</v>
      </c>
      <c r="BC71" s="1011">
        <v>16531245</v>
      </c>
      <c r="BD71" s="1011">
        <v>16531245</v>
      </c>
      <c r="BE71" s="1033"/>
      <c r="BF71" s="1010">
        <v>15412567</v>
      </c>
      <c r="BG71" s="1010">
        <v>15412567</v>
      </c>
      <c r="BH71" s="404"/>
      <c r="BI71" s="589"/>
      <c r="BJ71" s="1034"/>
      <c r="BK71" s="1010">
        <f>SUM(BI71+BJ71)</f>
        <v>0</v>
      </c>
      <c r="BL71" s="1010"/>
      <c r="BM71" s="1011">
        <v>40783410</v>
      </c>
      <c r="BN71" s="1011">
        <v>40783410</v>
      </c>
      <c r="BO71" s="1033"/>
      <c r="BP71" s="1010">
        <v>35797557</v>
      </c>
      <c r="BQ71" s="1010">
        <v>35797557</v>
      </c>
      <c r="BR71" s="404"/>
      <c r="BS71" s="589"/>
      <c r="BT71" s="1034"/>
      <c r="BU71" s="1010">
        <f>SUM(BS71+BT71)</f>
        <v>0</v>
      </c>
      <c r="BV71" s="1010"/>
      <c r="BW71" s="1013">
        <f t="shared" si="42"/>
        <v>159658655</v>
      </c>
      <c r="BX71" s="1013">
        <f t="shared" ref="BX71:BX76" si="60">SUM(C71+H71+M71+R71+W71+AB71+AG71+AL71+AT71+AY71+BD71+BI71+BN71+BS71)</f>
        <v>159658655</v>
      </c>
      <c r="BY71" s="1014">
        <f t="shared" ref="BY71:BY76" si="61">SUM(I71+N71+S71+X71+AC71+AH71+AM71+AU71+AZ71+BE71+BJ71+BO71+BT71+D71)</f>
        <v>0</v>
      </c>
      <c r="BZ71" s="1015">
        <f t="shared" si="45"/>
        <v>158561625</v>
      </c>
      <c r="CA71" s="1015">
        <f t="shared" si="46"/>
        <v>158561625</v>
      </c>
    </row>
    <row r="72" spans="1:79" s="633" customFormat="1" ht="15" customHeight="1">
      <c r="A72" s="633" t="s">
        <v>749</v>
      </c>
      <c r="C72" s="1011"/>
      <c r="D72" s="1018"/>
      <c r="E72" s="1010">
        <f>SUM(C72+D72)</f>
        <v>0</v>
      </c>
      <c r="F72" s="1010"/>
      <c r="G72" s="1011"/>
      <c r="H72" s="1011"/>
      <c r="I72" s="1018"/>
      <c r="J72" s="1010">
        <f>SUM(H72+I72)</f>
        <v>0</v>
      </c>
      <c r="K72" s="1010"/>
      <c r="L72" s="1011"/>
      <c r="M72" s="1011"/>
      <c r="N72" s="1018"/>
      <c r="O72" s="1010">
        <f>SUM(M72+N72)</f>
        <v>0</v>
      </c>
      <c r="P72" s="1010"/>
      <c r="Q72" s="1011"/>
      <c r="R72" s="1011"/>
      <c r="S72" s="1018"/>
      <c r="T72" s="1010">
        <f>SUM(R72+S72)</f>
        <v>0</v>
      </c>
      <c r="U72" s="1010"/>
      <c r="V72" s="1011"/>
      <c r="W72" s="1011"/>
      <c r="X72" s="1018"/>
      <c r="Y72" s="1010">
        <f>SUM(W72+X72)</f>
        <v>0</v>
      </c>
      <c r="Z72" s="1010"/>
      <c r="AA72" s="1011"/>
      <c r="AB72" s="1011"/>
      <c r="AC72" s="1035"/>
      <c r="AD72" s="1010">
        <f>SUM(AB72+AC72)</f>
        <v>0</v>
      </c>
      <c r="AE72" s="1010"/>
      <c r="AF72" s="1011"/>
      <c r="AG72" s="1011"/>
      <c r="AH72" s="1018"/>
      <c r="AI72" s="1010">
        <f>SUM(AG72+AH72)</f>
        <v>0</v>
      </c>
      <c r="AJ72" s="1010"/>
      <c r="AK72" s="1010"/>
      <c r="AL72" s="1010"/>
      <c r="AM72" s="1035"/>
      <c r="AN72" s="1010">
        <f>SUM(AL72+AM72)</f>
        <v>0</v>
      </c>
      <c r="AO72" s="1010"/>
      <c r="AP72" s="1010"/>
      <c r="AQ72" s="1010">
        <v>0</v>
      </c>
      <c r="AR72" s="1010"/>
      <c r="AS72" s="1011"/>
      <c r="AT72" s="1011"/>
      <c r="AU72" s="1018"/>
      <c r="AV72" s="1010">
        <f>SUM(AT72+AU72)</f>
        <v>0</v>
      </c>
      <c r="AW72" s="1010"/>
      <c r="AX72" s="1011"/>
      <c r="AY72" s="1011"/>
      <c r="AZ72" s="1018"/>
      <c r="BA72" s="1010">
        <f>SUM(AY72+AZ72)</f>
        <v>0</v>
      </c>
      <c r="BB72" s="1010"/>
      <c r="BC72" s="1011"/>
      <c r="BD72" s="1011"/>
      <c r="BE72" s="1018"/>
      <c r="BF72" s="1010">
        <f>SUM(BD72+BE72)</f>
        <v>0</v>
      </c>
      <c r="BG72" s="1010"/>
      <c r="BH72" s="1011"/>
      <c r="BI72" s="1011"/>
      <c r="BJ72" s="1035"/>
      <c r="BK72" s="1010">
        <f>SUM(BI72+BJ72)</f>
        <v>0</v>
      </c>
      <c r="BL72" s="1010"/>
      <c r="BM72" s="1011"/>
      <c r="BN72" s="1011"/>
      <c r="BO72" s="1018"/>
      <c r="BP72" s="1010">
        <f>SUM(BN72+BO72)</f>
        <v>0</v>
      </c>
      <c r="BQ72" s="1010"/>
      <c r="BR72" s="1011"/>
      <c r="BS72" s="1011"/>
      <c r="BT72" s="1035"/>
      <c r="BU72" s="1010">
        <f>SUM(BS72+BT72)</f>
        <v>0</v>
      </c>
      <c r="BV72" s="1010"/>
      <c r="BW72" s="1013">
        <f t="shared" si="42"/>
        <v>0</v>
      </c>
      <c r="BX72" s="1013">
        <f t="shared" si="60"/>
        <v>0</v>
      </c>
      <c r="BY72" s="1014">
        <f t="shared" si="61"/>
        <v>0</v>
      </c>
      <c r="BZ72" s="1015">
        <f t="shared" si="45"/>
        <v>0</v>
      </c>
      <c r="CA72" s="1015">
        <f t="shared" si="46"/>
        <v>0</v>
      </c>
    </row>
    <row r="73" spans="1:79" s="633" customFormat="1" ht="15" customHeight="1">
      <c r="A73" s="633" t="s">
        <v>750</v>
      </c>
      <c r="B73" s="633">
        <v>13673000</v>
      </c>
      <c r="C73" s="1032">
        <v>13673000</v>
      </c>
      <c r="D73" s="1018"/>
      <c r="E73" s="1010">
        <v>18708310</v>
      </c>
      <c r="F73" s="1010">
        <v>18708310</v>
      </c>
      <c r="G73" s="633">
        <v>757000</v>
      </c>
      <c r="H73" s="1032">
        <v>757000</v>
      </c>
      <c r="I73" s="1018"/>
      <c r="J73" s="1010">
        <v>4004541</v>
      </c>
      <c r="K73" s="1010">
        <v>4004541</v>
      </c>
      <c r="L73" s="633">
        <v>6997000</v>
      </c>
      <c r="M73" s="1032">
        <v>6997000</v>
      </c>
      <c r="N73" s="1018"/>
      <c r="O73" s="1010">
        <v>8299235</v>
      </c>
      <c r="P73" s="1010">
        <v>8299235</v>
      </c>
      <c r="Q73" s="633">
        <v>2420000</v>
      </c>
      <c r="R73" s="1032">
        <v>2420000</v>
      </c>
      <c r="S73" s="1018"/>
      <c r="T73" s="1010">
        <v>2881662</v>
      </c>
      <c r="U73" s="1010">
        <v>2881662</v>
      </c>
      <c r="V73" s="633">
        <v>3842000</v>
      </c>
      <c r="W73" s="1032">
        <v>3842000</v>
      </c>
      <c r="X73" s="1018"/>
      <c r="Y73" s="1010">
        <v>5095592</v>
      </c>
      <c r="Z73" s="1010">
        <v>5095592</v>
      </c>
      <c r="AA73" s="633">
        <v>1296000</v>
      </c>
      <c r="AB73" s="1032">
        <v>1296000</v>
      </c>
      <c r="AC73" s="1018"/>
      <c r="AD73" s="1010">
        <v>2936721</v>
      </c>
      <c r="AE73" s="1010">
        <v>2936721</v>
      </c>
      <c r="AF73" s="633">
        <v>349000</v>
      </c>
      <c r="AG73" s="1032">
        <v>349000</v>
      </c>
      <c r="AH73" s="1018"/>
      <c r="AI73" s="1010">
        <v>1946774</v>
      </c>
      <c r="AJ73" s="1010">
        <v>1946774</v>
      </c>
      <c r="AL73" s="1032"/>
      <c r="AM73" s="1018"/>
      <c r="AN73" s="1010">
        <v>828712</v>
      </c>
      <c r="AO73" s="1010">
        <v>828712</v>
      </c>
      <c r="AP73" s="1010"/>
      <c r="AQ73" s="1010">
        <v>5679675</v>
      </c>
      <c r="AR73" s="1010">
        <v>5679675</v>
      </c>
      <c r="AS73" s="633">
        <v>976000</v>
      </c>
      <c r="AT73" s="1032">
        <v>976000</v>
      </c>
      <c r="AU73" s="1018"/>
      <c r="AV73" s="1010">
        <v>1496687</v>
      </c>
      <c r="AW73" s="1010">
        <v>1496687</v>
      </c>
      <c r="AX73" s="633">
        <v>7469000</v>
      </c>
      <c r="AY73" s="1032">
        <v>7469000</v>
      </c>
      <c r="AZ73" s="1018"/>
      <c r="BA73" s="1010">
        <v>8833355</v>
      </c>
      <c r="BB73" s="1010">
        <v>8833355</v>
      </c>
      <c r="BC73" s="633">
        <v>5095000</v>
      </c>
      <c r="BD73" s="1032">
        <v>5095000</v>
      </c>
      <c r="BE73" s="1018"/>
      <c r="BF73" s="1010">
        <v>7725388</v>
      </c>
      <c r="BG73" s="1010">
        <v>7725388</v>
      </c>
      <c r="BI73" s="1032"/>
      <c r="BJ73" s="1018"/>
      <c r="BK73" s="1010">
        <v>1471901</v>
      </c>
      <c r="BL73" s="1010">
        <v>1471901</v>
      </c>
      <c r="BM73" s="633">
        <v>6370000</v>
      </c>
      <c r="BN73" s="1032">
        <v>6370000</v>
      </c>
      <c r="BO73" s="1018"/>
      <c r="BP73" s="1010">
        <v>4962918</v>
      </c>
      <c r="BQ73" s="1010">
        <v>4962918</v>
      </c>
      <c r="BR73" s="633">
        <v>954000</v>
      </c>
      <c r="BS73" s="1032">
        <v>954000</v>
      </c>
      <c r="BT73" s="1018"/>
      <c r="BU73" s="1010">
        <v>1570593</v>
      </c>
      <c r="BV73" s="1010">
        <v>1570593</v>
      </c>
      <c r="BW73" s="1013">
        <f t="shared" si="42"/>
        <v>50198000</v>
      </c>
      <c r="BX73" s="1013">
        <f t="shared" si="60"/>
        <v>50198000</v>
      </c>
      <c r="BY73" s="1014">
        <f t="shared" si="61"/>
        <v>0</v>
      </c>
      <c r="BZ73" s="1015">
        <f t="shared" si="45"/>
        <v>76442064</v>
      </c>
      <c r="CA73" s="1015">
        <f t="shared" si="46"/>
        <v>76442064</v>
      </c>
    </row>
    <row r="74" spans="1:79" s="415" customFormat="1" ht="15" hidden="1" customHeight="1">
      <c r="A74" s="633" t="s">
        <v>751</v>
      </c>
      <c r="B74" s="633"/>
      <c r="C74" s="1032"/>
      <c r="D74" s="1018"/>
      <c r="E74" s="1010">
        <f>SUM(C74+D74)</f>
        <v>0</v>
      </c>
      <c r="F74" s="1010"/>
      <c r="G74" s="633"/>
      <c r="H74" s="1032"/>
      <c r="I74" s="1018"/>
      <c r="J74" s="1010">
        <f>SUM(H74+I74)</f>
        <v>0</v>
      </c>
      <c r="K74" s="1010"/>
      <c r="L74" s="633"/>
      <c r="M74" s="1032"/>
      <c r="N74" s="1018"/>
      <c r="O74" s="1010">
        <f>SUM(M74+N74)</f>
        <v>0</v>
      </c>
      <c r="P74" s="1010"/>
      <c r="Q74" s="633"/>
      <c r="R74" s="1032"/>
      <c r="S74" s="1018"/>
      <c r="T74" s="1010">
        <f>SUM(R74+S74)</f>
        <v>0</v>
      </c>
      <c r="U74" s="1010"/>
      <c r="V74" s="633"/>
      <c r="W74" s="1032"/>
      <c r="X74" s="1018"/>
      <c r="Y74" s="1010">
        <f>SUM(W74+X74)</f>
        <v>0</v>
      </c>
      <c r="Z74" s="1010"/>
      <c r="AA74" s="633"/>
      <c r="AB74" s="1032"/>
      <c r="AC74" s="1018"/>
      <c r="AD74" s="1010">
        <f>SUM(AB74+AC74)</f>
        <v>0</v>
      </c>
      <c r="AE74" s="1010"/>
      <c r="AF74" s="633"/>
      <c r="AG74" s="1032"/>
      <c r="AH74" s="1018"/>
      <c r="AI74" s="1010">
        <f>SUM(AG74+AH74)</f>
        <v>0</v>
      </c>
      <c r="AJ74" s="1010"/>
      <c r="AK74" s="633"/>
      <c r="AL74" s="1032"/>
      <c r="AM74" s="1018"/>
      <c r="AN74" s="1010">
        <f>SUM(AL74+AM74)</f>
        <v>0</v>
      </c>
      <c r="AO74" s="1010"/>
      <c r="AP74" s="1010"/>
      <c r="AQ74" s="1010"/>
      <c r="AR74" s="1010"/>
      <c r="AS74" s="633"/>
      <c r="AT74" s="1032"/>
      <c r="AU74" s="1018"/>
      <c r="AV74" s="1010">
        <f>SUM(AT74+AU74)</f>
        <v>0</v>
      </c>
      <c r="AW74" s="1010"/>
      <c r="AX74" s="633"/>
      <c r="AY74" s="1032"/>
      <c r="AZ74" s="1018"/>
      <c r="BA74" s="1010">
        <f>SUM(AY74+AZ74)</f>
        <v>0</v>
      </c>
      <c r="BB74" s="1010"/>
      <c r="BC74" s="633"/>
      <c r="BD74" s="1032"/>
      <c r="BE74" s="1018"/>
      <c r="BF74" s="1010">
        <f>SUM(BD74+BE74)</f>
        <v>0</v>
      </c>
      <c r="BG74" s="1010"/>
      <c r="BH74" s="633"/>
      <c r="BI74" s="1032"/>
      <c r="BJ74" s="1018"/>
      <c r="BK74" s="1010">
        <f>SUM(BI74+BJ74)</f>
        <v>0</v>
      </c>
      <c r="BL74" s="1010"/>
      <c r="BM74" s="633"/>
      <c r="BN74" s="1032"/>
      <c r="BO74" s="1018"/>
      <c r="BP74" s="1010">
        <f>SUM(BN74+BO74)</f>
        <v>0</v>
      </c>
      <c r="BQ74" s="1010"/>
      <c r="BR74" s="633"/>
      <c r="BS74" s="1032"/>
      <c r="BT74" s="1018"/>
      <c r="BU74" s="1010">
        <f>SUM(BS74+BT74)</f>
        <v>0</v>
      </c>
      <c r="BV74" s="1010"/>
      <c r="BW74" s="1013">
        <f t="shared" si="42"/>
        <v>0</v>
      </c>
      <c r="BX74" s="1013">
        <f t="shared" si="60"/>
        <v>0</v>
      </c>
      <c r="BY74" s="1014">
        <f t="shared" si="61"/>
        <v>0</v>
      </c>
      <c r="BZ74" s="1015">
        <f t="shared" si="45"/>
        <v>0</v>
      </c>
      <c r="CA74" s="1015">
        <f t="shared" si="46"/>
        <v>0</v>
      </c>
    </row>
    <row r="75" spans="1:79" s="633" customFormat="1" ht="15" customHeight="1">
      <c r="A75" s="633" t="s">
        <v>752</v>
      </c>
      <c r="C75" s="1032"/>
      <c r="D75" s="1018"/>
      <c r="E75" s="1010">
        <f>SUM(C75+D75)</f>
        <v>0</v>
      </c>
      <c r="F75" s="1010"/>
      <c r="H75" s="1032"/>
      <c r="I75" s="1018"/>
      <c r="J75" s="1010">
        <f>SUM(H75+I75)</f>
        <v>0</v>
      </c>
      <c r="K75" s="1010"/>
      <c r="M75" s="1032"/>
      <c r="N75" s="1018"/>
      <c r="O75" s="1010">
        <f>SUM(M75+N75)</f>
        <v>0</v>
      </c>
      <c r="P75" s="1010"/>
      <c r="R75" s="1032"/>
      <c r="S75" s="1018"/>
      <c r="T75" s="1010">
        <f>SUM(R75+S75)</f>
        <v>0</v>
      </c>
      <c r="U75" s="1010"/>
      <c r="V75" s="1010"/>
      <c r="W75" s="1032"/>
      <c r="X75" s="1018"/>
      <c r="Y75" s="1010">
        <f>SUM(W75+X75)</f>
        <v>0</v>
      </c>
      <c r="Z75" s="1010"/>
      <c r="AB75" s="1032"/>
      <c r="AC75" s="1018"/>
      <c r="AD75" s="1010">
        <f>SUM(AB75+AC75)</f>
        <v>0</v>
      </c>
      <c r="AE75" s="1010"/>
      <c r="AG75" s="1032"/>
      <c r="AH75" s="1018"/>
      <c r="AI75" s="1010">
        <f>SUM(AG75+AH75)</f>
        <v>0</v>
      </c>
      <c r="AJ75" s="1010"/>
      <c r="AL75" s="1032"/>
      <c r="AM75" s="1018"/>
      <c r="AN75" s="1010">
        <f>SUM(AL75+AM75)</f>
        <v>0</v>
      </c>
      <c r="AO75" s="1010"/>
      <c r="AP75" s="1010"/>
      <c r="AQ75" s="1010"/>
      <c r="AR75" s="1010"/>
      <c r="AT75" s="1032"/>
      <c r="AU75" s="1018"/>
      <c r="AV75" s="1010">
        <f>SUM(AT75+AU75)</f>
        <v>0</v>
      </c>
      <c r="AW75" s="1010"/>
      <c r="AY75" s="1032"/>
      <c r="AZ75" s="1018"/>
      <c r="BA75" s="1010">
        <f>SUM(AY75+AZ75)</f>
        <v>0</v>
      </c>
      <c r="BB75" s="1010"/>
      <c r="BD75" s="1032"/>
      <c r="BE75" s="1018"/>
      <c r="BF75" s="1010">
        <f>SUM(BD75+BE75)</f>
        <v>0</v>
      </c>
      <c r="BG75" s="1010"/>
      <c r="BI75" s="1032"/>
      <c r="BJ75" s="1018"/>
      <c r="BK75" s="1010">
        <f>SUM(BI75+BJ75)</f>
        <v>0</v>
      </c>
      <c r="BL75" s="1010"/>
      <c r="BN75" s="1032"/>
      <c r="BO75" s="1018"/>
      <c r="BP75" s="1010">
        <f>SUM(BN75+BO75)</f>
        <v>0</v>
      </c>
      <c r="BQ75" s="1010"/>
      <c r="BS75" s="1032"/>
      <c r="BT75" s="1018"/>
      <c r="BU75" s="1010">
        <f>SUM(BS75+BT75)</f>
        <v>0</v>
      </c>
      <c r="BV75" s="1010"/>
      <c r="BW75" s="1013">
        <f t="shared" si="42"/>
        <v>0</v>
      </c>
      <c r="BX75" s="1013">
        <f t="shared" si="60"/>
        <v>0</v>
      </c>
      <c r="BY75" s="1014">
        <f t="shared" si="61"/>
        <v>0</v>
      </c>
      <c r="BZ75" s="1015">
        <f t="shared" si="45"/>
        <v>0</v>
      </c>
      <c r="CA75" s="1015">
        <f t="shared" si="46"/>
        <v>0</v>
      </c>
    </row>
    <row r="76" spans="1:79" s="633" customFormat="1" ht="15" customHeight="1">
      <c r="A76" s="633" t="s">
        <v>800</v>
      </c>
      <c r="C76" s="1032">
        <v>2356712</v>
      </c>
      <c r="D76" s="1009"/>
      <c r="E76" s="1010">
        <v>0</v>
      </c>
      <c r="F76" s="1010"/>
      <c r="H76" s="1032"/>
      <c r="I76" s="1018"/>
      <c r="J76" s="1010">
        <f>SUM(H76+I76)</f>
        <v>0</v>
      </c>
      <c r="K76" s="1010"/>
      <c r="M76" s="1032"/>
      <c r="N76" s="1018"/>
      <c r="O76" s="1010">
        <f>SUM(M76+N76)</f>
        <v>0</v>
      </c>
      <c r="P76" s="1010"/>
      <c r="R76" s="1032"/>
      <c r="S76" s="1018"/>
      <c r="T76" s="1010">
        <f>SUM(R76+S76)</f>
        <v>0</v>
      </c>
      <c r="U76" s="1010"/>
      <c r="W76" s="1032"/>
      <c r="X76" s="1018"/>
      <c r="Y76" s="1010">
        <f>SUM(W76+X76)</f>
        <v>0</v>
      </c>
      <c r="Z76" s="1010"/>
      <c r="AB76" s="1032"/>
      <c r="AC76" s="1018"/>
      <c r="AD76" s="1010">
        <f>SUM(AB76+AC76)</f>
        <v>0</v>
      </c>
      <c r="AE76" s="1010"/>
      <c r="AG76" s="1032"/>
      <c r="AH76" s="1018"/>
      <c r="AI76" s="1010">
        <f>SUM(AG76+AH76)</f>
        <v>0</v>
      </c>
      <c r="AJ76" s="1010"/>
      <c r="AL76" s="1032"/>
      <c r="AM76" s="1018"/>
      <c r="AN76" s="1010">
        <f>SUM(AL76+AM76)</f>
        <v>0</v>
      </c>
      <c r="AO76" s="1010"/>
      <c r="AP76" s="1010"/>
      <c r="AQ76" s="1010"/>
      <c r="AR76" s="1010"/>
      <c r="AT76" s="1032"/>
      <c r="AU76" s="1018"/>
      <c r="AV76" s="1010">
        <f>SUM(AT76+AU76)</f>
        <v>0</v>
      </c>
      <c r="AW76" s="1010"/>
      <c r="AY76" s="1032"/>
      <c r="AZ76" s="1018"/>
      <c r="BA76" s="1010">
        <f>SUM(AY76+AZ76)</f>
        <v>0</v>
      </c>
      <c r="BB76" s="1010"/>
      <c r="BD76" s="1032"/>
      <c r="BE76" s="1018"/>
      <c r="BF76" s="1010">
        <f>SUM(BD76+BE76)</f>
        <v>0</v>
      </c>
      <c r="BG76" s="1010"/>
      <c r="BI76" s="1032"/>
      <c r="BJ76" s="1018"/>
      <c r="BK76" s="1010">
        <f>SUM(BI76+BJ76)</f>
        <v>0</v>
      </c>
      <c r="BL76" s="1010"/>
      <c r="BN76" s="1032"/>
      <c r="BO76" s="1018"/>
      <c r="BP76" s="1010">
        <f>SUM(BN76+BO76)</f>
        <v>0</v>
      </c>
      <c r="BQ76" s="1010"/>
      <c r="BS76" s="1032"/>
      <c r="BT76" s="1018"/>
      <c r="BU76" s="1010">
        <f>SUM(BS76+BT76)</f>
        <v>0</v>
      </c>
      <c r="BV76" s="1010"/>
      <c r="BW76" s="1013">
        <f t="shared" si="42"/>
        <v>0</v>
      </c>
      <c r="BX76" s="1013">
        <f t="shared" si="60"/>
        <v>2356712</v>
      </c>
      <c r="BY76" s="1014">
        <f t="shared" si="61"/>
        <v>0</v>
      </c>
      <c r="BZ76" s="1015">
        <f t="shared" si="45"/>
        <v>0</v>
      </c>
      <c r="CA76" s="1015">
        <f t="shared" si="46"/>
        <v>0</v>
      </c>
    </row>
    <row r="77" spans="1:79" s="519" customFormat="1" ht="15" customHeight="1">
      <c r="A77" s="1017" t="s">
        <v>754</v>
      </c>
      <c r="B77" s="1023">
        <f>SUM(B62:B75)</f>
        <v>13673000</v>
      </c>
      <c r="C77" s="1023">
        <f t="shared" ref="C77:AO77" si="62">SUM(C62:C76)</f>
        <v>16029712</v>
      </c>
      <c r="D77" s="1023">
        <f t="shared" si="62"/>
        <v>0</v>
      </c>
      <c r="E77" s="1023">
        <f t="shared" si="62"/>
        <v>28789626</v>
      </c>
      <c r="F77" s="1023">
        <f t="shared" si="62"/>
        <v>28789626</v>
      </c>
      <c r="G77" s="1023">
        <f t="shared" si="62"/>
        <v>757000</v>
      </c>
      <c r="H77" s="1023">
        <f t="shared" si="62"/>
        <v>757000</v>
      </c>
      <c r="I77" s="1023">
        <f t="shared" si="62"/>
        <v>0</v>
      </c>
      <c r="J77" s="1023">
        <f t="shared" si="62"/>
        <v>4174186</v>
      </c>
      <c r="K77" s="1023">
        <f t="shared" si="62"/>
        <v>4174186</v>
      </c>
      <c r="L77" s="1023">
        <f t="shared" si="62"/>
        <v>41320020</v>
      </c>
      <c r="M77" s="1023">
        <f t="shared" si="62"/>
        <v>41320020</v>
      </c>
      <c r="N77" s="1023">
        <f t="shared" si="62"/>
        <v>0</v>
      </c>
      <c r="O77" s="1023">
        <f t="shared" si="62"/>
        <v>38768810</v>
      </c>
      <c r="P77" s="1023">
        <f t="shared" si="62"/>
        <v>38768810</v>
      </c>
      <c r="Q77" s="1023">
        <f t="shared" si="62"/>
        <v>2420000</v>
      </c>
      <c r="R77" s="1023">
        <f t="shared" si="62"/>
        <v>2420000</v>
      </c>
      <c r="S77" s="1023">
        <f t="shared" si="62"/>
        <v>0</v>
      </c>
      <c r="T77" s="1023">
        <f t="shared" si="62"/>
        <v>2881662</v>
      </c>
      <c r="U77" s="1023">
        <f t="shared" si="62"/>
        <v>2881662</v>
      </c>
      <c r="V77" s="1023">
        <f t="shared" si="62"/>
        <v>25862530</v>
      </c>
      <c r="W77" s="1023">
        <f t="shared" si="62"/>
        <v>25862530</v>
      </c>
      <c r="X77" s="1023">
        <f t="shared" si="62"/>
        <v>0</v>
      </c>
      <c r="Y77" s="1023">
        <f t="shared" si="62"/>
        <v>24977591</v>
      </c>
      <c r="Z77" s="1023">
        <f t="shared" si="62"/>
        <v>24977591</v>
      </c>
      <c r="AA77" s="1023">
        <f t="shared" si="62"/>
        <v>1296000</v>
      </c>
      <c r="AB77" s="1023">
        <f t="shared" si="62"/>
        <v>1296000</v>
      </c>
      <c r="AC77" s="1023">
        <f t="shared" si="62"/>
        <v>0</v>
      </c>
      <c r="AD77" s="1023">
        <f t="shared" si="62"/>
        <v>3265661</v>
      </c>
      <c r="AE77" s="1023">
        <f t="shared" si="62"/>
        <v>3265661</v>
      </c>
      <c r="AF77" s="1023">
        <f t="shared" si="62"/>
        <v>13024000</v>
      </c>
      <c r="AG77" s="1023">
        <f t="shared" si="62"/>
        <v>13024000</v>
      </c>
      <c r="AH77" s="1023">
        <f t="shared" si="62"/>
        <v>0</v>
      </c>
      <c r="AI77" s="1023">
        <f t="shared" si="62"/>
        <v>15243971</v>
      </c>
      <c r="AJ77" s="1023">
        <f t="shared" si="62"/>
        <v>15243971</v>
      </c>
      <c r="AK77" s="1023">
        <f t="shared" si="62"/>
        <v>0</v>
      </c>
      <c r="AL77" s="1023">
        <f t="shared" si="62"/>
        <v>0</v>
      </c>
      <c r="AM77" s="1023">
        <f t="shared" si="62"/>
        <v>0</v>
      </c>
      <c r="AN77" s="1023">
        <f t="shared" si="62"/>
        <v>828712</v>
      </c>
      <c r="AO77" s="1023">
        <f t="shared" si="62"/>
        <v>828712</v>
      </c>
      <c r="AP77" s="1023"/>
      <c r="AQ77" s="1023">
        <v>18060007</v>
      </c>
      <c r="AR77" s="1023">
        <f t="shared" ref="AR77:BU77" si="63">SUM(AR62:AR76)</f>
        <v>18060007</v>
      </c>
      <c r="AS77" s="1023">
        <f t="shared" si="63"/>
        <v>24097000</v>
      </c>
      <c r="AT77" s="1023">
        <f t="shared" si="63"/>
        <v>24097000</v>
      </c>
      <c r="AU77" s="1023">
        <f t="shared" si="63"/>
        <v>0</v>
      </c>
      <c r="AV77" s="1023">
        <f t="shared" si="63"/>
        <v>24160988</v>
      </c>
      <c r="AW77" s="1023">
        <f t="shared" si="63"/>
        <v>24160988</v>
      </c>
      <c r="AX77" s="1023">
        <f t="shared" si="63"/>
        <v>17673450</v>
      </c>
      <c r="AY77" s="1023">
        <f t="shared" si="63"/>
        <v>17673450</v>
      </c>
      <c r="AZ77" s="1023">
        <f t="shared" si="63"/>
        <v>0</v>
      </c>
      <c r="BA77" s="1023">
        <f t="shared" si="63"/>
        <v>16992867</v>
      </c>
      <c r="BB77" s="1023">
        <f t="shared" si="63"/>
        <v>16992867</v>
      </c>
      <c r="BC77" s="1023">
        <f t="shared" si="63"/>
        <v>21626245</v>
      </c>
      <c r="BD77" s="1023">
        <f t="shared" si="63"/>
        <v>21626245</v>
      </c>
      <c r="BE77" s="1023">
        <f t="shared" si="63"/>
        <v>0</v>
      </c>
      <c r="BF77" s="1023">
        <f t="shared" si="63"/>
        <v>23137955</v>
      </c>
      <c r="BG77" s="1023">
        <f t="shared" si="63"/>
        <v>23137955</v>
      </c>
      <c r="BH77" s="1023">
        <f t="shared" si="63"/>
        <v>0</v>
      </c>
      <c r="BI77" s="1023">
        <f t="shared" si="63"/>
        <v>0</v>
      </c>
      <c r="BJ77" s="1023">
        <f t="shared" si="63"/>
        <v>0</v>
      </c>
      <c r="BK77" s="1023">
        <f t="shared" si="63"/>
        <v>1471901</v>
      </c>
      <c r="BL77" s="1023">
        <f t="shared" si="63"/>
        <v>1471901</v>
      </c>
      <c r="BM77" s="1023">
        <f t="shared" si="63"/>
        <v>47153410</v>
      </c>
      <c r="BN77" s="1023">
        <f t="shared" si="63"/>
        <v>47153410</v>
      </c>
      <c r="BO77" s="1023">
        <f t="shared" si="63"/>
        <v>0</v>
      </c>
      <c r="BP77" s="1023">
        <f t="shared" si="63"/>
        <v>40760475</v>
      </c>
      <c r="BQ77" s="1023">
        <f t="shared" si="63"/>
        <v>40760475</v>
      </c>
      <c r="BR77" s="1023">
        <f t="shared" si="63"/>
        <v>954000</v>
      </c>
      <c r="BS77" s="1023">
        <f t="shared" si="63"/>
        <v>954000</v>
      </c>
      <c r="BT77" s="1023">
        <f t="shared" si="63"/>
        <v>0</v>
      </c>
      <c r="BU77" s="1023">
        <f t="shared" si="63"/>
        <v>1570593</v>
      </c>
      <c r="BV77" s="1023">
        <f>SUM(BV62:BV75)</f>
        <v>1570593</v>
      </c>
      <c r="BW77" s="1023">
        <f>SUM(BW62:BW75)</f>
        <v>209856655</v>
      </c>
      <c r="BX77" s="1023">
        <f>SUM(BX62:BX76)</f>
        <v>212213367</v>
      </c>
      <c r="BY77" s="1023">
        <f>SUM(BY62:BY76)</f>
        <v>0</v>
      </c>
      <c r="BZ77" s="1023">
        <f>SUM(BZ62:BZ76)</f>
        <v>245085005</v>
      </c>
      <c r="CA77" s="1023">
        <f>SUM(CA62:CA75)</f>
        <v>245085005</v>
      </c>
    </row>
    <row r="78" spans="1:79" s="415" customFormat="1" ht="15" hidden="1" customHeight="1">
      <c r="A78" s="633" t="s">
        <v>755</v>
      </c>
      <c r="B78" s="633"/>
      <c r="C78" s="633"/>
      <c r="D78" s="633"/>
      <c r="E78" s="633"/>
      <c r="F78" s="633"/>
      <c r="G78" s="633"/>
      <c r="H78" s="633"/>
      <c r="I78" s="633"/>
      <c r="J78" s="633"/>
      <c r="K78" s="633"/>
      <c r="L78" s="633"/>
      <c r="M78" s="633"/>
      <c r="N78" s="633"/>
      <c r="O78" s="633"/>
      <c r="P78" s="633"/>
      <c r="Q78" s="633"/>
      <c r="R78" s="633"/>
      <c r="S78" s="633"/>
      <c r="T78" s="633"/>
      <c r="U78" s="633"/>
      <c r="V78" s="633"/>
      <c r="W78" s="633"/>
      <c r="X78" s="633"/>
      <c r="Y78" s="633"/>
      <c r="Z78" s="633"/>
      <c r="AA78" s="633"/>
      <c r="AB78" s="633"/>
      <c r="AC78" s="633"/>
      <c r="AD78" s="633"/>
      <c r="AE78" s="633"/>
      <c r="AF78" s="633"/>
      <c r="AG78" s="633"/>
      <c r="AH78" s="633"/>
      <c r="AI78" s="633"/>
      <c r="AJ78" s="633"/>
      <c r="AK78" s="633"/>
      <c r="AL78" s="633"/>
      <c r="AM78" s="633"/>
      <c r="AN78" s="633"/>
      <c r="AO78" s="633"/>
      <c r="AP78" s="633"/>
      <c r="AQ78" s="633"/>
      <c r="AR78" s="633"/>
      <c r="AS78" s="633"/>
      <c r="AT78" s="633"/>
      <c r="AU78" s="633"/>
      <c r="AV78" s="633"/>
      <c r="AW78" s="633"/>
      <c r="AX78" s="633"/>
      <c r="AY78" s="633"/>
      <c r="AZ78" s="633"/>
      <c r="BA78" s="633"/>
      <c r="BB78" s="633"/>
      <c r="BC78" s="633"/>
      <c r="BD78" s="633"/>
      <c r="BE78" s="633"/>
      <c r="BF78" s="633"/>
      <c r="BG78" s="633"/>
      <c r="BH78" s="633"/>
      <c r="BI78" s="633"/>
      <c r="BJ78" s="633"/>
      <c r="BK78" s="633"/>
      <c r="BL78" s="633"/>
      <c r="BM78" s="633"/>
      <c r="BN78" s="633"/>
      <c r="BO78" s="633"/>
      <c r="BP78" s="633"/>
      <c r="BQ78" s="633"/>
      <c r="BR78" s="633"/>
      <c r="BS78" s="633"/>
      <c r="BT78" s="633"/>
      <c r="BU78" s="633"/>
      <c r="BV78" s="633"/>
      <c r="BW78" s="1013">
        <f>SUM(B78+G78+L78+Q78+V78+AA78+AF78+AK78+AS78+AX78+BC78+BH78+BM78+BR78)</f>
        <v>0</v>
      </c>
      <c r="BX78" s="1013">
        <f>SUM(C78+H78+M78+R78+W78+AB78+AG78+AL78+AT78+AY78+BD78+BI78+BN78+BS78)</f>
        <v>0</v>
      </c>
      <c r="BY78" s="1014">
        <f t="shared" ref="BY78:BY85" si="64">SUM(I78+N78+S78+X78+AC78+AH78+AM78+AU78+AZ78+BE78+BJ78+BO78+BT78+D78)</f>
        <v>0</v>
      </c>
      <c r="BZ78" s="1020">
        <f>SUM(BX78+BY78)</f>
        <v>0</v>
      </c>
      <c r="CA78" s="519"/>
    </row>
    <row r="79" spans="1:79" s="415" customFormat="1" ht="15" hidden="1" customHeight="1">
      <c r="A79" s="633" t="s">
        <v>756</v>
      </c>
      <c r="B79" s="633"/>
      <c r="C79" s="633"/>
      <c r="D79" s="633"/>
      <c r="E79" s="633"/>
      <c r="F79" s="633"/>
      <c r="G79" s="633"/>
      <c r="H79" s="633"/>
      <c r="I79" s="633"/>
      <c r="J79" s="633"/>
      <c r="K79" s="633"/>
      <c r="L79" s="633"/>
      <c r="M79" s="633"/>
      <c r="N79" s="633"/>
      <c r="O79" s="633"/>
      <c r="P79" s="633"/>
      <c r="Q79" s="633"/>
      <c r="R79" s="633"/>
      <c r="S79" s="633"/>
      <c r="T79" s="633"/>
      <c r="U79" s="633"/>
      <c r="V79" s="633"/>
      <c r="W79" s="633"/>
      <c r="X79" s="633"/>
      <c r="Y79" s="633"/>
      <c r="Z79" s="633"/>
      <c r="AA79" s="633"/>
      <c r="AB79" s="633"/>
      <c r="AC79" s="633"/>
      <c r="AD79" s="633"/>
      <c r="AE79" s="633"/>
      <c r="AF79" s="633"/>
      <c r="AG79" s="633"/>
      <c r="AH79" s="633"/>
      <c r="AI79" s="633"/>
      <c r="AJ79" s="633"/>
      <c r="AK79" s="633"/>
      <c r="AL79" s="633"/>
      <c r="AM79" s="633"/>
      <c r="AN79" s="633"/>
      <c r="AO79" s="633"/>
      <c r="AP79" s="633"/>
      <c r="AQ79" s="633"/>
      <c r="AR79" s="633"/>
      <c r="AS79" s="633"/>
      <c r="AT79" s="633"/>
      <c r="AU79" s="633"/>
      <c r="AV79" s="633"/>
      <c r="AW79" s="633"/>
      <c r="AX79" s="633"/>
      <c r="AY79" s="633"/>
      <c r="AZ79" s="633"/>
      <c r="BA79" s="633"/>
      <c r="BB79" s="633"/>
      <c r="BC79" s="633"/>
      <c r="BD79" s="633"/>
      <c r="BE79" s="633"/>
      <c r="BF79" s="633"/>
      <c r="BG79" s="633"/>
      <c r="BH79" s="633"/>
      <c r="BI79" s="633"/>
      <c r="BJ79" s="633"/>
      <c r="BK79" s="633"/>
      <c r="BL79" s="633"/>
      <c r="BM79" s="633"/>
      <c r="BN79" s="633"/>
      <c r="BO79" s="633"/>
      <c r="BP79" s="633"/>
      <c r="BQ79" s="633"/>
      <c r="BR79" s="633"/>
      <c r="BS79" s="633"/>
      <c r="BT79" s="633"/>
      <c r="BU79" s="633"/>
      <c r="BV79" s="633"/>
      <c r="BW79" s="1013">
        <f>SUM(B79+G79+L79+Q79+V79+AA79+AF79+AK79+AS79+AX79+BC79+BH79+BM79+BR79)</f>
        <v>0</v>
      </c>
      <c r="BX79" s="1013">
        <f>SUM(C79+H79+M79+R79+W79+AB79+AG79+AL79+AT79+AY79+BD79+BI79+BN79+BS79)</f>
        <v>0</v>
      </c>
      <c r="BY79" s="1014">
        <f t="shared" si="64"/>
        <v>0</v>
      </c>
      <c r="BZ79" s="1020">
        <f>SUM(BX79+BY79)</f>
        <v>0</v>
      </c>
      <c r="CA79" s="519"/>
    </row>
    <row r="80" spans="1:79" s="415" customFormat="1" ht="15" customHeight="1">
      <c r="A80" s="633" t="s">
        <v>757</v>
      </c>
      <c r="B80" s="633"/>
      <c r="C80" s="633"/>
      <c r="D80" s="1018"/>
      <c r="E80" s="1010">
        <f t="shared" ref="E80:E85" si="65">SUM(C80+D80)</f>
        <v>0</v>
      </c>
      <c r="F80" s="1010"/>
      <c r="G80" s="633"/>
      <c r="H80" s="633"/>
      <c r="I80" s="1018"/>
      <c r="J80" s="1010">
        <f t="shared" ref="J80:J85" si="66">SUM(H80+I80)</f>
        <v>0</v>
      </c>
      <c r="K80" s="1010"/>
      <c r="L80" s="633"/>
      <c r="M80" s="633"/>
      <c r="N80" s="1018"/>
      <c r="O80" s="1010">
        <f t="shared" ref="O80:O85" si="67">SUM(M80+N80)</f>
        <v>0</v>
      </c>
      <c r="P80" s="1010"/>
      <c r="Q80" s="633"/>
      <c r="R80" s="633"/>
      <c r="S80" s="1018"/>
      <c r="T80" s="1010">
        <f t="shared" ref="T80:T85" si="68">SUM(R80+S80)</f>
        <v>0</v>
      </c>
      <c r="U80" s="1010"/>
      <c r="V80" s="633"/>
      <c r="W80" s="633"/>
      <c r="X80" s="1018"/>
      <c r="Y80" s="1010">
        <f t="shared" ref="Y80:Y85" si="69">SUM(W80+X80)</f>
        <v>0</v>
      </c>
      <c r="Z80" s="1010"/>
      <c r="AA80" s="633"/>
      <c r="AB80" s="633"/>
      <c r="AC80" s="1018"/>
      <c r="AD80" s="1010">
        <f t="shared" ref="AD80:AD85" si="70">SUM(AB80+AC80)</f>
        <v>0</v>
      </c>
      <c r="AE80" s="1010"/>
      <c r="AF80" s="633"/>
      <c r="AG80" s="633"/>
      <c r="AH80" s="1018"/>
      <c r="AI80" s="1010">
        <f t="shared" ref="AI80:AI85" si="71">SUM(AG80+AH80)</f>
        <v>0</v>
      </c>
      <c r="AJ80" s="1010"/>
      <c r="AK80" s="633"/>
      <c r="AL80" s="633"/>
      <c r="AM80" s="1018"/>
      <c r="AN80" s="1010">
        <f t="shared" ref="AN80:AN85" si="72">SUM(AL80+AM80)</f>
        <v>0</v>
      </c>
      <c r="AO80" s="1010"/>
      <c r="AP80" s="1010"/>
      <c r="AQ80" s="1010">
        <v>0</v>
      </c>
      <c r="AR80" s="1010"/>
      <c r="AS80" s="633"/>
      <c r="AT80" s="633"/>
      <c r="AU80" s="1018"/>
      <c r="AV80" s="1010">
        <f t="shared" ref="AV80:AV85" si="73">SUM(AT80+AU80)</f>
        <v>0</v>
      </c>
      <c r="AW80" s="1010"/>
      <c r="AX80" s="633"/>
      <c r="AY80" s="633"/>
      <c r="AZ80" s="1018"/>
      <c r="BA80" s="1010">
        <f t="shared" ref="BA80:BA85" si="74">SUM(AY80+AZ80)</f>
        <v>0</v>
      </c>
      <c r="BB80" s="1010"/>
      <c r="BC80" s="633"/>
      <c r="BD80" s="633"/>
      <c r="BE80" s="1018"/>
      <c r="BF80" s="1010">
        <f t="shared" ref="BF80:BF85" si="75">SUM(BD80+BE80)</f>
        <v>0</v>
      </c>
      <c r="BG80" s="1010"/>
      <c r="BH80" s="633"/>
      <c r="BI80" s="633"/>
      <c r="BJ80" s="1018"/>
      <c r="BK80" s="1010">
        <f t="shared" ref="BK80:BK85" si="76">SUM(BI80+BJ80)</f>
        <v>0</v>
      </c>
      <c r="BL80" s="1010"/>
      <c r="BM80" s="633"/>
      <c r="BN80" s="633"/>
      <c r="BO80" s="1018"/>
      <c r="BP80" s="1010">
        <f t="shared" ref="BP80:BP85" si="77">SUM(BN80+BO80)</f>
        <v>0</v>
      </c>
      <c r="BQ80" s="1010"/>
      <c r="BR80" s="633"/>
      <c r="BS80" s="633"/>
      <c r="BT80" s="1018"/>
      <c r="BU80" s="1010">
        <f t="shared" ref="BU80:BU85" si="78">SUM(BS80+BT80)</f>
        <v>0</v>
      </c>
      <c r="BV80" s="1010"/>
      <c r="BW80" s="1013">
        <f t="shared" ref="BW80:BW85" si="79">SUM(B80+G80+L80+Q80+V80+AA80+AF80+AK80+AS80+AX80+BC80+BH80+BM80+BR80+AP80)</f>
        <v>0</v>
      </c>
      <c r="BX80" s="1013">
        <f t="shared" ref="BX80:BX85" si="80">SUM(C80+H80+M80+R80+W80+AB80+AG80+AL80+AT80+AY80+BD80+BI80+BN80+BS80)</f>
        <v>0</v>
      </c>
      <c r="BY80" s="1014">
        <f t="shared" si="64"/>
        <v>0</v>
      </c>
      <c r="BZ80" s="1015">
        <f t="shared" ref="BZ80:CA85" si="81">SUM(E80+J80+O80+T80+Y80+AD80+AI80+AN80+AV80+BA80+BF80+BK80+BP80+BU80+AQ80)</f>
        <v>0</v>
      </c>
      <c r="CA80" s="1015">
        <f t="shared" si="81"/>
        <v>0</v>
      </c>
    </row>
    <row r="81" spans="1:79" s="415" customFormat="1" ht="15" hidden="1" customHeight="1">
      <c r="A81" s="633" t="s">
        <v>758</v>
      </c>
      <c r="B81" s="633"/>
      <c r="C81" s="633"/>
      <c r="D81" s="1018"/>
      <c r="E81" s="1010">
        <f t="shared" si="65"/>
        <v>0</v>
      </c>
      <c r="F81" s="1010"/>
      <c r="G81" s="633"/>
      <c r="H81" s="633"/>
      <c r="I81" s="1018"/>
      <c r="J81" s="1010">
        <f t="shared" si="66"/>
        <v>0</v>
      </c>
      <c r="K81" s="1010"/>
      <c r="L81" s="633"/>
      <c r="M81" s="633"/>
      <c r="N81" s="1018"/>
      <c r="O81" s="1010">
        <f t="shared" si="67"/>
        <v>0</v>
      </c>
      <c r="P81" s="1010"/>
      <c r="Q81" s="633"/>
      <c r="R81" s="633"/>
      <c r="S81" s="1018"/>
      <c r="T81" s="1010">
        <f t="shared" si="68"/>
        <v>0</v>
      </c>
      <c r="U81" s="1010"/>
      <c r="V81" s="633"/>
      <c r="W81" s="633"/>
      <c r="X81" s="1018"/>
      <c r="Y81" s="1010">
        <f t="shared" si="69"/>
        <v>0</v>
      </c>
      <c r="Z81" s="1010"/>
      <c r="AA81" s="633"/>
      <c r="AB81" s="633"/>
      <c r="AC81" s="1018"/>
      <c r="AD81" s="1010">
        <f t="shared" si="70"/>
        <v>0</v>
      </c>
      <c r="AE81" s="1010"/>
      <c r="AF81" s="633"/>
      <c r="AG81" s="633"/>
      <c r="AH81" s="1018"/>
      <c r="AI81" s="1010">
        <f t="shared" si="71"/>
        <v>0</v>
      </c>
      <c r="AJ81" s="1010"/>
      <c r="AK81" s="633"/>
      <c r="AL81" s="633"/>
      <c r="AM81" s="1018"/>
      <c r="AN81" s="1010">
        <f t="shared" si="72"/>
        <v>0</v>
      </c>
      <c r="AO81" s="1010"/>
      <c r="AP81" s="1010"/>
      <c r="AQ81" s="1010"/>
      <c r="AR81" s="1010"/>
      <c r="AS81" s="633"/>
      <c r="AT81" s="633"/>
      <c r="AU81" s="1018"/>
      <c r="AV81" s="1010">
        <f t="shared" si="73"/>
        <v>0</v>
      </c>
      <c r="AW81" s="1010"/>
      <c r="AX81" s="633"/>
      <c r="AY81" s="633"/>
      <c r="AZ81" s="1018"/>
      <c r="BA81" s="1010">
        <f t="shared" si="74"/>
        <v>0</v>
      </c>
      <c r="BB81" s="1010"/>
      <c r="BC81" s="633"/>
      <c r="BD81" s="633"/>
      <c r="BE81" s="1018"/>
      <c r="BF81" s="1010">
        <f t="shared" si="75"/>
        <v>0</v>
      </c>
      <c r="BG81" s="1010"/>
      <c r="BH81" s="633"/>
      <c r="BI81" s="633"/>
      <c r="BJ81" s="1018"/>
      <c r="BK81" s="1010">
        <f t="shared" si="76"/>
        <v>0</v>
      </c>
      <c r="BL81" s="1010"/>
      <c r="BM81" s="633"/>
      <c r="BN81" s="633"/>
      <c r="BO81" s="1018"/>
      <c r="BP81" s="1010">
        <f t="shared" si="77"/>
        <v>0</v>
      </c>
      <c r="BQ81" s="1010"/>
      <c r="BR81" s="633"/>
      <c r="BS81" s="633"/>
      <c r="BT81" s="1018"/>
      <c r="BU81" s="1010">
        <f t="shared" si="78"/>
        <v>0</v>
      </c>
      <c r="BV81" s="1010"/>
      <c r="BW81" s="1013">
        <f t="shared" si="79"/>
        <v>0</v>
      </c>
      <c r="BX81" s="1013">
        <f t="shared" si="80"/>
        <v>0</v>
      </c>
      <c r="BY81" s="1014">
        <f t="shared" si="64"/>
        <v>0</v>
      </c>
      <c r="BZ81" s="1015">
        <f t="shared" si="81"/>
        <v>0</v>
      </c>
      <c r="CA81" s="1015">
        <f t="shared" si="81"/>
        <v>0</v>
      </c>
    </row>
    <row r="82" spans="1:79" s="415" customFormat="1" ht="15" customHeight="1">
      <c r="A82" s="633" t="s">
        <v>759</v>
      </c>
      <c r="B82" s="633"/>
      <c r="C82" s="633"/>
      <c r="D82" s="1018"/>
      <c r="E82" s="1010">
        <f t="shared" si="65"/>
        <v>0</v>
      </c>
      <c r="F82" s="1010"/>
      <c r="G82" s="633"/>
      <c r="H82" s="633"/>
      <c r="I82" s="1018"/>
      <c r="J82" s="1010">
        <f t="shared" si="66"/>
        <v>0</v>
      </c>
      <c r="K82" s="1010"/>
      <c r="L82" s="633"/>
      <c r="M82" s="633"/>
      <c r="N82" s="1018"/>
      <c r="O82" s="1010">
        <f t="shared" si="67"/>
        <v>0</v>
      </c>
      <c r="P82" s="1010"/>
      <c r="Q82" s="633"/>
      <c r="R82" s="633"/>
      <c r="S82" s="1018"/>
      <c r="T82" s="1010">
        <f t="shared" si="68"/>
        <v>0</v>
      </c>
      <c r="U82" s="1010"/>
      <c r="V82" s="633"/>
      <c r="W82" s="633"/>
      <c r="X82" s="1018"/>
      <c r="Y82" s="1010">
        <f t="shared" si="69"/>
        <v>0</v>
      </c>
      <c r="Z82" s="1010"/>
      <c r="AA82" s="633"/>
      <c r="AB82" s="633"/>
      <c r="AC82" s="1018"/>
      <c r="AD82" s="1010">
        <f t="shared" si="70"/>
        <v>0</v>
      </c>
      <c r="AE82" s="1010"/>
      <c r="AF82" s="633"/>
      <c r="AG82" s="633"/>
      <c r="AH82" s="1018"/>
      <c r="AI82" s="1010">
        <f t="shared" si="71"/>
        <v>0</v>
      </c>
      <c r="AJ82" s="1010"/>
      <c r="AK82" s="633"/>
      <c r="AL82" s="633"/>
      <c r="AM82" s="1018"/>
      <c r="AN82" s="1010">
        <f t="shared" si="72"/>
        <v>0</v>
      </c>
      <c r="AO82" s="1010"/>
      <c r="AP82" s="1010"/>
      <c r="AQ82" s="1010">
        <v>0</v>
      </c>
      <c r="AR82" s="1010"/>
      <c r="AS82" s="633"/>
      <c r="AT82" s="633"/>
      <c r="AU82" s="1018"/>
      <c r="AV82" s="1010">
        <f t="shared" si="73"/>
        <v>0</v>
      </c>
      <c r="AW82" s="1010"/>
      <c r="AX82" s="633"/>
      <c r="AY82" s="633"/>
      <c r="AZ82" s="1018"/>
      <c r="BA82" s="1010">
        <f t="shared" si="74"/>
        <v>0</v>
      </c>
      <c r="BB82" s="1010"/>
      <c r="BC82" s="633"/>
      <c r="BD82" s="633"/>
      <c r="BE82" s="1018"/>
      <c r="BF82" s="1010">
        <f t="shared" si="75"/>
        <v>0</v>
      </c>
      <c r="BG82" s="1010"/>
      <c r="BH82" s="633"/>
      <c r="BI82" s="633"/>
      <c r="BJ82" s="1018"/>
      <c r="BK82" s="1010">
        <f t="shared" si="76"/>
        <v>0</v>
      </c>
      <c r="BL82" s="1010"/>
      <c r="BM82" s="633"/>
      <c r="BN82" s="633"/>
      <c r="BO82" s="1018"/>
      <c r="BP82" s="1010">
        <f t="shared" si="77"/>
        <v>0</v>
      </c>
      <c r="BQ82" s="1010"/>
      <c r="BR82" s="633"/>
      <c r="BS82" s="633"/>
      <c r="BT82" s="1018"/>
      <c r="BU82" s="1010">
        <f t="shared" si="78"/>
        <v>0</v>
      </c>
      <c r="BV82" s="1010"/>
      <c r="BW82" s="1013">
        <f t="shared" si="79"/>
        <v>0</v>
      </c>
      <c r="BX82" s="1013">
        <f t="shared" si="80"/>
        <v>0</v>
      </c>
      <c r="BY82" s="1014">
        <f t="shared" si="64"/>
        <v>0</v>
      </c>
      <c r="BZ82" s="1015">
        <f t="shared" si="81"/>
        <v>0</v>
      </c>
      <c r="CA82" s="1015">
        <f t="shared" si="81"/>
        <v>0</v>
      </c>
    </row>
    <row r="83" spans="1:79" s="415" customFormat="1" ht="15" customHeight="1">
      <c r="A83" s="633" t="s">
        <v>760</v>
      </c>
      <c r="B83" s="633"/>
      <c r="C83" s="633"/>
      <c r="D83" s="1018"/>
      <c r="E83" s="1010">
        <f t="shared" si="65"/>
        <v>0</v>
      </c>
      <c r="F83" s="1010"/>
      <c r="G83" s="633"/>
      <c r="H83" s="633"/>
      <c r="I83" s="1018"/>
      <c r="J83" s="1010">
        <f t="shared" si="66"/>
        <v>0</v>
      </c>
      <c r="K83" s="1010"/>
      <c r="L83" s="633"/>
      <c r="M83" s="633"/>
      <c r="N83" s="1018"/>
      <c r="O83" s="1010">
        <f t="shared" si="67"/>
        <v>0</v>
      </c>
      <c r="P83" s="1010"/>
      <c r="Q83" s="633"/>
      <c r="R83" s="633"/>
      <c r="S83" s="1018"/>
      <c r="T83" s="1010">
        <f t="shared" si="68"/>
        <v>0</v>
      </c>
      <c r="U83" s="1010"/>
      <c r="V83" s="633"/>
      <c r="W83" s="633"/>
      <c r="X83" s="1018"/>
      <c r="Y83" s="1010">
        <f t="shared" si="69"/>
        <v>0</v>
      </c>
      <c r="Z83" s="1010"/>
      <c r="AA83" s="633"/>
      <c r="AB83" s="633"/>
      <c r="AC83" s="1018"/>
      <c r="AD83" s="1010">
        <f t="shared" si="70"/>
        <v>0</v>
      </c>
      <c r="AE83" s="1010"/>
      <c r="AF83" s="633"/>
      <c r="AG83" s="633"/>
      <c r="AH83" s="1018"/>
      <c r="AI83" s="1010">
        <f t="shared" si="71"/>
        <v>0</v>
      </c>
      <c r="AJ83" s="1010"/>
      <c r="AK83" s="633"/>
      <c r="AL83" s="633"/>
      <c r="AM83" s="1018"/>
      <c r="AN83" s="1010">
        <f t="shared" si="72"/>
        <v>0</v>
      </c>
      <c r="AO83" s="1010"/>
      <c r="AP83" s="1010"/>
      <c r="AQ83" s="1010">
        <v>0</v>
      </c>
      <c r="AR83" s="1010"/>
      <c r="AS83" s="633"/>
      <c r="AT83" s="633"/>
      <c r="AU83" s="1018"/>
      <c r="AV83" s="1010">
        <f t="shared" si="73"/>
        <v>0</v>
      </c>
      <c r="AW83" s="1010"/>
      <c r="AX83" s="633"/>
      <c r="AY83" s="633"/>
      <c r="AZ83" s="1018"/>
      <c r="BA83" s="1010">
        <f t="shared" si="74"/>
        <v>0</v>
      </c>
      <c r="BB83" s="1010"/>
      <c r="BC83" s="633"/>
      <c r="BD83" s="633"/>
      <c r="BE83" s="1018"/>
      <c r="BF83" s="1010">
        <f t="shared" si="75"/>
        <v>0</v>
      </c>
      <c r="BG83" s="1010"/>
      <c r="BH83" s="633"/>
      <c r="BI83" s="633"/>
      <c r="BJ83" s="1018"/>
      <c r="BK83" s="1010">
        <f t="shared" si="76"/>
        <v>0</v>
      </c>
      <c r="BL83" s="1010"/>
      <c r="BM83" s="633"/>
      <c r="BN83" s="633"/>
      <c r="BO83" s="1018"/>
      <c r="BP83" s="1010">
        <f t="shared" si="77"/>
        <v>0</v>
      </c>
      <c r="BQ83" s="1010"/>
      <c r="BR83" s="633"/>
      <c r="BS83" s="633"/>
      <c r="BT83" s="1018"/>
      <c r="BU83" s="1010">
        <f t="shared" si="78"/>
        <v>0</v>
      </c>
      <c r="BV83" s="1010"/>
      <c r="BW83" s="1013">
        <f t="shared" si="79"/>
        <v>0</v>
      </c>
      <c r="BX83" s="1013">
        <f t="shared" si="80"/>
        <v>0</v>
      </c>
      <c r="BY83" s="1014">
        <f t="shared" si="64"/>
        <v>0</v>
      </c>
      <c r="BZ83" s="1015">
        <f t="shared" si="81"/>
        <v>0</v>
      </c>
      <c r="CA83" s="1015">
        <f t="shared" si="81"/>
        <v>0</v>
      </c>
    </row>
    <row r="84" spans="1:79" s="415" customFormat="1" ht="15" customHeight="1">
      <c r="A84" s="633" t="s">
        <v>761</v>
      </c>
      <c r="B84" s="633"/>
      <c r="C84" s="633"/>
      <c r="D84" s="1018"/>
      <c r="E84" s="1010">
        <f t="shared" si="65"/>
        <v>0</v>
      </c>
      <c r="F84" s="1010"/>
      <c r="G84" s="633"/>
      <c r="H84" s="633"/>
      <c r="I84" s="1018"/>
      <c r="J84" s="1010">
        <f t="shared" si="66"/>
        <v>0</v>
      </c>
      <c r="K84" s="1010"/>
      <c r="L84" s="633"/>
      <c r="M84" s="633"/>
      <c r="N84" s="1018"/>
      <c r="O84" s="1010">
        <f t="shared" si="67"/>
        <v>0</v>
      </c>
      <c r="P84" s="1010"/>
      <c r="Q84" s="633"/>
      <c r="R84" s="633"/>
      <c r="S84" s="1018"/>
      <c r="T84" s="1010">
        <f t="shared" si="68"/>
        <v>0</v>
      </c>
      <c r="U84" s="1010"/>
      <c r="V84" s="633"/>
      <c r="W84" s="633"/>
      <c r="X84" s="1018"/>
      <c r="Y84" s="1010">
        <f t="shared" si="69"/>
        <v>0</v>
      </c>
      <c r="Z84" s="1010"/>
      <c r="AA84" s="633"/>
      <c r="AB84" s="633"/>
      <c r="AC84" s="1018"/>
      <c r="AD84" s="1010">
        <f t="shared" si="70"/>
        <v>0</v>
      </c>
      <c r="AE84" s="1010"/>
      <c r="AF84" s="633"/>
      <c r="AG84" s="633"/>
      <c r="AH84" s="1018"/>
      <c r="AI84" s="1010">
        <f t="shared" si="71"/>
        <v>0</v>
      </c>
      <c r="AJ84" s="1010"/>
      <c r="AK84" s="633"/>
      <c r="AL84" s="633"/>
      <c r="AM84" s="1018"/>
      <c r="AN84" s="1010">
        <f t="shared" si="72"/>
        <v>0</v>
      </c>
      <c r="AO84" s="1010"/>
      <c r="AP84" s="1010"/>
      <c r="AQ84" s="1010">
        <v>0</v>
      </c>
      <c r="AR84" s="1010"/>
      <c r="AS84" s="633"/>
      <c r="AT84" s="633"/>
      <c r="AU84" s="1018"/>
      <c r="AV84" s="1010">
        <f t="shared" si="73"/>
        <v>0</v>
      </c>
      <c r="AW84" s="1010"/>
      <c r="AX84" s="633"/>
      <c r="AY84" s="633"/>
      <c r="AZ84" s="1018"/>
      <c r="BA84" s="1010">
        <f t="shared" si="74"/>
        <v>0</v>
      </c>
      <c r="BB84" s="1010"/>
      <c r="BC84" s="633"/>
      <c r="BD84" s="633"/>
      <c r="BE84" s="1018"/>
      <c r="BF84" s="1010">
        <f t="shared" si="75"/>
        <v>0</v>
      </c>
      <c r="BG84" s="1010"/>
      <c r="BH84" s="633"/>
      <c r="BI84" s="633"/>
      <c r="BJ84" s="1018"/>
      <c r="BK84" s="1010">
        <f t="shared" si="76"/>
        <v>0</v>
      </c>
      <c r="BL84" s="1010"/>
      <c r="BM84" s="633"/>
      <c r="BN84" s="633"/>
      <c r="BO84" s="1018"/>
      <c r="BP84" s="1010">
        <f t="shared" si="77"/>
        <v>0</v>
      </c>
      <c r="BQ84" s="1010"/>
      <c r="BR84" s="633"/>
      <c r="BS84" s="633"/>
      <c r="BT84" s="1018"/>
      <c r="BU84" s="1010">
        <f t="shared" si="78"/>
        <v>0</v>
      </c>
      <c r="BV84" s="1010"/>
      <c r="BW84" s="1013">
        <f t="shared" si="79"/>
        <v>0</v>
      </c>
      <c r="BX84" s="1013">
        <f t="shared" si="80"/>
        <v>0</v>
      </c>
      <c r="BY84" s="1014">
        <f t="shared" si="64"/>
        <v>0</v>
      </c>
      <c r="BZ84" s="1015">
        <f t="shared" si="81"/>
        <v>0</v>
      </c>
      <c r="CA84" s="1015">
        <f t="shared" si="81"/>
        <v>0</v>
      </c>
    </row>
    <row r="85" spans="1:79" s="415" customFormat="1" ht="15" customHeight="1">
      <c r="A85" s="633" t="s">
        <v>762</v>
      </c>
      <c r="B85" s="633"/>
      <c r="C85" s="633"/>
      <c r="D85" s="1018"/>
      <c r="E85" s="1010">
        <f t="shared" si="65"/>
        <v>0</v>
      </c>
      <c r="F85" s="1010"/>
      <c r="G85" s="633"/>
      <c r="H85" s="633"/>
      <c r="I85" s="1018"/>
      <c r="J85" s="1010">
        <f t="shared" si="66"/>
        <v>0</v>
      </c>
      <c r="K85" s="1010"/>
      <c r="L85" s="633"/>
      <c r="M85" s="633"/>
      <c r="N85" s="1018"/>
      <c r="O85" s="1010">
        <f t="shared" si="67"/>
        <v>0</v>
      </c>
      <c r="P85" s="1010"/>
      <c r="Q85" s="633"/>
      <c r="R85" s="633"/>
      <c r="S85" s="1018"/>
      <c r="T85" s="1010">
        <f t="shared" si="68"/>
        <v>0</v>
      </c>
      <c r="U85" s="1010"/>
      <c r="V85" s="633"/>
      <c r="W85" s="633"/>
      <c r="X85" s="1018"/>
      <c r="Y85" s="1010">
        <f t="shared" si="69"/>
        <v>0</v>
      </c>
      <c r="Z85" s="1010"/>
      <c r="AA85" s="633"/>
      <c r="AB85" s="633"/>
      <c r="AC85" s="1018"/>
      <c r="AD85" s="1010">
        <f t="shared" si="70"/>
        <v>0</v>
      </c>
      <c r="AE85" s="1010"/>
      <c r="AF85" s="633"/>
      <c r="AG85" s="633"/>
      <c r="AH85" s="1018"/>
      <c r="AI85" s="1010">
        <f t="shared" si="71"/>
        <v>0</v>
      </c>
      <c r="AJ85" s="1010"/>
      <c r="AK85" s="633"/>
      <c r="AL85" s="633"/>
      <c r="AM85" s="1018"/>
      <c r="AN85" s="1010">
        <f t="shared" si="72"/>
        <v>0</v>
      </c>
      <c r="AO85" s="1010"/>
      <c r="AP85" s="1010"/>
      <c r="AQ85" s="1010">
        <v>0</v>
      </c>
      <c r="AR85" s="1010"/>
      <c r="AS85" s="633"/>
      <c r="AT85" s="633"/>
      <c r="AU85" s="1018"/>
      <c r="AV85" s="1010">
        <f t="shared" si="73"/>
        <v>0</v>
      </c>
      <c r="AW85" s="1010"/>
      <c r="AX85" s="633"/>
      <c r="AY85" s="633"/>
      <c r="AZ85" s="1018"/>
      <c r="BA85" s="1010">
        <f t="shared" si="74"/>
        <v>0</v>
      </c>
      <c r="BB85" s="1010"/>
      <c r="BC85" s="633"/>
      <c r="BD85" s="633"/>
      <c r="BE85" s="1018"/>
      <c r="BF85" s="1010">
        <f t="shared" si="75"/>
        <v>0</v>
      </c>
      <c r="BG85" s="1010"/>
      <c r="BH85" s="633"/>
      <c r="BI85" s="633"/>
      <c r="BJ85" s="1018"/>
      <c r="BK85" s="1010">
        <f t="shared" si="76"/>
        <v>0</v>
      </c>
      <c r="BL85" s="1010"/>
      <c r="BM85" s="633"/>
      <c r="BN85" s="633"/>
      <c r="BO85" s="1018"/>
      <c r="BP85" s="1010">
        <f t="shared" si="77"/>
        <v>0</v>
      </c>
      <c r="BQ85" s="1010"/>
      <c r="BR85" s="633"/>
      <c r="BS85" s="633"/>
      <c r="BT85" s="1018"/>
      <c r="BU85" s="1010">
        <f t="shared" si="78"/>
        <v>0</v>
      </c>
      <c r="BV85" s="1010"/>
      <c r="BW85" s="1013">
        <f t="shared" si="79"/>
        <v>0</v>
      </c>
      <c r="BX85" s="1013">
        <f t="shared" si="80"/>
        <v>0</v>
      </c>
      <c r="BY85" s="1014">
        <f t="shared" si="64"/>
        <v>0</v>
      </c>
      <c r="BZ85" s="1015">
        <f t="shared" si="81"/>
        <v>0</v>
      </c>
      <c r="CA85" s="1015">
        <f t="shared" si="81"/>
        <v>0</v>
      </c>
    </row>
    <row r="86" spans="1:79" s="519" customFormat="1" ht="15" customHeight="1">
      <c r="A86" s="1036" t="s">
        <v>763</v>
      </c>
      <c r="B86" s="1023">
        <f t="shared" ref="B86:AO86" si="82">SUM(B78:B85)</f>
        <v>0</v>
      </c>
      <c r="C86" s="1023">
        <f t="shared" si="82"/>
        <v>0</v>
      </c>
      <c r="D86" s="1023">
        <f t="shared" si="82"/>
        <v>0</v>
      </c>
      <c r="E86" s="1023">
        <f t="shared" si="82"/>
        <v>0</v>
      </c>
      <c r="F86" s="1023">
        <f t="shared" si="82"/>
        <v>0</v>
      </c>
      <c r="G86" s="1023">
        <f t="shared" si="82"/>
        <v>0</v>
      </c>
      <c r="H86" s="1023">
        <f t="shared" si="82"/>
        <v>0</v>
      </c>
      <c r="I86" s="1023">
        <f t="shared" si="82"/>
        <v>0</v>
      </c>
      <c r="J86" s="1023">
        <f t="shared" si="82"/>
        <v>0</v>
      </c>
      <c r="K86" s="1023">
        <f t="shared" si="82"/>
        <v>0</v>
      </c>
      <c r="L86" s="1023">
        <f t="shared" si="82"/>
        <v>0</v>
      </c>
      <c r="M86" s="1023">
        <f t="shared" si="82"/>
        <v>0</v>
      </c>
      <c r="N86" s="1023">
        <f t="shared" si="82"/>
        <v>0</v>
      </c>
      <c r="O86" s="1023">
        <f t="shared" si="82"/>
        <v>0</v>
      </c>
      <c r="P86" s="1023">
        <f t="shared" si="82"/>
        <v>0</v>
      </c>
      <c r="Q86" s="1023">
        <f t="shared" si="82"/>
        <v>0</v>
      </c>
      <c r="R86" s="1023">
        <f t="shared" si="82"/>
        <v>0</v>
      </c>
      <c r="S86" s="1023">
        <f t="shared" si="82"/>
        <v>0</v>
      </c>
      <c r="T86" s="1023">
        <f t="shared" si="82"/>
        <v>0</v>
      </c>
      <c r="U86" s="1023">
        <f t="shared" si="82"/>
        <v>0</v>
      </c>
      <c r="V86" s="1023">
        <f t="shared" si="82"/>
        <v>0</v>
      </c>
      <c r="W86" s="1023">
        <f t="shared" si="82"/>
        <v>0</v>
      </c>
      <c r="X86" s="1023">
        <f t="shared" si="82"/>
        <v>0</v>
      </c>
      <c r="Y86" s="1023">
        <f t="shared" si="82"/>
        <v>0</v>
      </c>
      <c r="Z86" s="1023">
        <f t="shared" si="82"/>
        <v>0</v>
      </c>
      <c r="AA86" s="1023">
        <f t="shared" si="82"/>
        <v>0</v>
      </c>
      <c r="AB86" s="1023">
        <f t="shared" si="82"/>
        <v>0</v>
      </c>
      <c r="AC86" s="1023">
        <f t="shared" si="82"/>
        <v>0</v>
      </c>
      <c r="AD86" s="1023">
        <f t="shared" si="82"/>
        <v>0</v>
      </c>
      <c r="AE86" s="1023">
        <f t="shared" si="82"/>
        <v>0</v>
      </c>
      <c r="AF86" s="1023">
        <f t="shared" si="82"/>
        <v>0</v>
      </c>
      <c r="AG86" s="1023">
        <f t="shared" si="82"/>
        <v>0</v>
      </c>
      <c r="AH86" s="1023">
        <f t="shared" si="82"/>
        <v>0</v>
      </c>
      <c r="AI86" s="1023">
        <f t="shared" si="82"/>
        <v>0</v>
      </c>
      <c r="AJ86" s="1023">
        <f t="shared" si="82"/>
        <v>0</v>
      </c>
      <c r="AK86" s="1023">
        <f t="shared" si="82"/>
        <v>0</v>
      </c>
      <c r="AL86" s="1023">
        <f t="shared" si="82"/>
        <v>0</v>
      </c>
      <c r="AM86" s="1023">
        <f t="shared" si="82"/>
        <v>0</v>
      </c>
      <c r="AN86" s="1023">
        <f t="shared" si="82"/>
        <v>0</v>
      </c>
      <c r="AO86" s="1023">
        <f t="shared" si="82"/>
        <v>0</v>
      </c>
      <c r="AP86" s="1023"/>
      <c r="AQ86" s="1023">
        <v>0</v>
      </c>
      <c r="AR86" s="1023">
        <f t="shared" ref="AR86:CA86" si="83">SUM(AR78:AR85)</f>
        <v>0</v>
      </c>
      <c r="AS86" s="1023">
        <f t="shared" si="83"/>
        <v>0</v>
      </c>
      <c r="AT86" s="1023">
        <f t="shared" si="83"/>
        <v>0</v>
      </c>
      <c r="AU86" s="1023">
        <f t="shared" si="83"/>
        <v>0</v>
      </c>
      <c r="AV86" s="1023">
        <f t="shared" si="83"/>
        <v>0</v>
      </c>
      <c r="AW86" s="1023">
        <f t="shared" si="83"/>
        <v>0</v>
      </c>
      <c r="AX86" s="1023">
        <f t="shared" si="83"/>
        <v>0</v>
      </c>
      <c r="AY86" s="1023">
        <f t="shared" si="83"/>
        <v>0</v>
      </c>
      <c r="AZ86" s="1023">
        <f t="shared" si="83"/>
        <v>0</v>
      </c>
      <c r="BA86" s="1023">
        <f t="shared" si="83"/>
        <v>0</v>
      </c>
      <c r="BB86" s="1023">
        <f t="shared" si="83"/>
        <v>0</v>
      </c>
      <c r="BC86" s="1023">
        <f t="shared" si="83"/>
        <v>0</v>
      </c>
      <c r="BD86" s="1023">
        <f t="shared" si="83"/>
        <v>0</v>
      </c>
      <c r="BE86" s="1023">
        <f t="shared" si="83"/>
        <v>0</v>
      </c>
      <c r="BF86" s="1023">
        <f t="shared" si="83"/>
        <v>0</v>
      </c>
      <c r="BG86" s="1023">
        <f t="shared" si="83"/>
        <v>0</v>
      </c>
      <c r="BH86" s="1023">
        <f t="shared" si="83"/>
        <v>0</v>
      </c>
      <c r="BI86" s="1023">
        <f t="shared" si="83"/>
        <v>0</v>
      </c>
      <c r="BJ86" s="1023">
        <f t="shared" si="83"/>
        <v>0</v>
      </c>
      <c r="BK86" s="1023">
        <f t="shared" si="83"/>
        <v>0</v>
      </c>
      <c r="BL86" s="1023">
        <f t="shared" si="83"/>
        <v>0</v>
      </c>
      <c r="BM86" s="1023">
        <f t="shared" si="83"/>
        <v>0</v>
      </c>
      <c r="BN86" s="1023">
        <f t="shared" si="83"/>
        <v>0</v>
      </c>
      <c r="BO86" s="1023">
        <f t="shared" si="83"/>
        <v>0</v>
      </c>
      <c r="BP86" s="1023">
        <f t="shared" si="83"/>
        <v>0</v>
      </c>
      <c r="BQ86" s="1023">
        <f t="shared" si="83"/>
        <v>0</v>
      </c>
      <c r="BR86" s="1023">
        <f t="shared" si="83"/>
        <v>0</v>
      </c>
      <c r="BS86" s="1023">
        <f t="shared" si="83"/>
        <v>0</v>
      </c>
      <c r="BT86" s="1023">
        <f t="shared" si="83"/>
        <v>0</v>
      </c>
      <c r="BU86" s="1023">
        <f t="shared" si="83"/>
        <v>0</v>
      </c>
      <c r="BV86" s="1023">
        <f t="shared" si="83"/>
        <v>0</v>
      </c>
      <c r="BW86" s="1023">
        <f t="shared" si="83"/>
        <v>0</v>
      </c>
      <c r="BX86" s="1023">
        <f t="shared" si="83"/>
        <v>0</v>
      </c>
      <c r="BY86" s="1023">
        <f t="shared" si="83"/>
        <v>0</v>
      </c>
      <c r="BZ86" s="1023">
        <f t="shared" si="83"/>
        <v>0</v>
      </c>
      <c r="CA86" s="1023">
        <f t="shared" si="83"/>
        <v>0</v>
      </c>
    </row>
    <row r="87" spans="1:79" s="519" customFormat="1" ht="15" customHeight="1">
      <c r="A87" s="1016" t="s">
        <v>764</v>
      </c>
      <c r="B87" s="1024">
        <f t="shared" ref="B87:AO87" si="84">B86+B77</f>
        <v>13673000</v>
      </c>
      <c r="C87" s="1024">
        <f t="shared" si="84"/>
        <v>16029712</v>
      </c>
      <c r="D87" s="1024">
        <f t="shared" si="84"/>
        <v>0</v>
      </c>
      <c r="E87" s="1023">
        <f t="shared" si="84"/>
        <v>28789626</v>
      </c>
      <c r="F87" s="1024">
        <f t="shared" si="84"/>
        <v>28789626</v>
      </c>
      <c r="G87" s="1024">
        <f t="shared" si="84"/>
        <v>757000</v>
      </c>
      <c r="H87" s="1024">
        <f t="shared" si="84"/>
        <v>757000</v>
      </c>
      <c r="I87" s="1024">
        <f t="shared" si="84"/>
        <v>0</v>
      </c>
      <c r="J87" s="1023">
        <f t="shared" si="84"/>
        <v>4174186</v>
      </c>
      <c r="K87" s="1024">
        <f t="shared" si="84"/>
        <v>4174186</v>
      </c>
      <c r="L87" s="1024">
        <f t="shared" si="84"/>
        <v>41320020</v>
      </c>
      <c r="M87" s="1024">
        <f t="shared" si="84"/>
        <v>41320020</v>
      </c>
      <c r="N87" s="1024">
        <f t="shared" si="84"/>
        <v>0</v>
      </c>
      <c r="O87" s="1023">
        <f t="shared" si="84"/>
        <v>38768810</v>
      </c>
      <c r="P87" s="1024">
        <f t="shared" si="84"/>
        <v>38768810</v>
      </c>
      <c r="Q87" s="1024">
        <f t="shared" si="84"/>
        <v>2420000</v>
      </c>
      <c r="R87" s="1024">
        <f t="shared" si="84"/>
        <v>2420000</v>
      </c>
      <c r="S87" s="1024">
        <f t="shared" si="84"/>
        <v>0</v>
      </c>
      <c r="T87" s="1023">
        <f t="shared" si="84"/>
        <v>2881662</v>
      </c>
      <c r="U87" s="1024">
        <f t="shared" si="84"/>
        <v>2881662</v>
      </c>
      <c r="V87" s="1024">
        <f t="shared" si="84"/>
        <v>25862530</v>
      </c>
      <c r="W87" s="1024">
        <f t="shared" si="84"/>
        <v>25862530</v>
      </c>
      <c r="X87" s="1024">
        <f t="shared" si="84"/>
        <v>0</v>
      </c>
      <c r="Y87" s="1023">
        <f t="shared" si="84"/>
        <v>24977591</v>
      </c>
      <c r="Z87" s="1024">
        <f t="shared" si="84"/>
        <v>24977591</v>
      </c>
      <c r="AA87" s="1024">
        <f t="shared" si="84"/>
        <v>1296000</v>
      </c>
      <c r="AB87" s="1024">
        <f t="shared" si="84"/>
        <v>1296000</v>
      </c>
      <c r="AC87" s="1024">
        <f t="shared" si="84"/>
        <v>0</v>
      </c>
      <c r="AD87" s="1023">
        <f t="shared" si="84"/>
        <v>3265661</v>
      </c>
      <c r="AE87" s="1024">
        <f t="shared" si="84"/>
        <v>3265661</v>
      </c>
      <c r="AF87" s="1024">
        <f t="shared" si="84"/>
        <v>13024000</v>
      </c>
      <c r="AG87" s="1024">
        <f t="shared" si="84"/>
        <v>13024000</v>
      </c>
      <c r="AH87" s="1024">
        <f t="shared" si="84"/>
        <v>0</v>
      </c>
      <c r="AI87" s="1023">
        <f t="shared" si="84"/>
        <v>15243971</v>
      </c>
      <c r="AJ87" s="1024">
        <f t="shared" si="84"/>
        <v>15243971</v>
      </c>
      <c r="AK87" s="1024">
        <f t="shared" si="84"/>
        <v>0</v>
      </c>
      <c r="AL87" s="1024">
        <f t="shared" si="84"/>
        <v>0</v>
      </c>
      <c r="AM87" s="1024">
        <f t="shared" si="84"/>
        <v>0</v>
      </c>
      <c r="AN87" s="1023">
        <f t="shared" si="84"/>
        <v>828712</v>
      </c>
      <c r="AO87" s="1023">
        <f t="shared" si="84"/>
        <v>828712</v>
      </c>
      <c r="AP87" s="1023"/>
      <c r="AQ87" s="1023">
        <v>18060007</v>
      </c>
      <c r="AR87" s="1023">
        <f t="shared" ref="AR87:CA87" si="85">AR86+AR77</f>
        <v>18060007</v>
      </c>
      <c r="AS87" s="1024">
        <f t="shared" si="85"/>
        <v>24097000</v>
      </c>
      <c r="AT87" s="1024">
        <f t="shared" si="85"/>
        <v>24097000</v>
      </c>
      <c r="AU87" s="1024">
        <f t="shared" si="85"/>
        <v>0</v>
      </c>
      <c r="AV87" s="1023">
        <f t="shared" si="85"/>
        <v>24160988</v>
      </c>
      <c r="AW87" s="1024">
        <f t="shared" si="85"/>
        <v>24160988</v>
      </c>
      <c r="AX87" s="1024">
        <f t="shared" si="85"/>
        <v>17673450</v>
      </c>
      <c r="AY87" s="1024">
        <f t="shared" si="85"/>
        <v>17673450</v>
      </c>
      <c r="AZ87" s="1024">
        <f t="shared" si="85"/>
        <v>0</v>
      </c>
      <c r="BA87" s="1023">
        <f t="shared" si="85"/>
        <v>16992867</v>
      </c>
      <c r="BB87" s="1024">
        <f t="shared" si="85"/>
        <v>16992867</v>
      </c>
      <c r="BC87" s="1024">
        <f t="shared" si="85"/>
        <v>21626245</v>
      </c>
      <c r="BD87" s="1024">
        <f t="shared" si="85"/>
        <v>21626245</v>
      </c>
      <c r="BE87" s="1024">
        <f t="shared" si="85"/>
        <v>0</v>
      </c>
      <c r="BF87" s="1023">
        <f t="shared" si="85"/>
        <v>23137955</v>
      </c>
      <c r="BG87" s="1024">
        <f t="shared" si="85"/>
        <v>23137955</v>
      </c>
      <c r="BH87" s="1024">
        <f t="shared" si="85"/>
        <v>0</v>
      </c>
      <c r="BI87" s="1024">
        <f t="shared" si="85"/>
        <v>0</v>
      </c>
      <c r="BJ87" s="1024">
        <f t="shared" si="85"/>
        <v>0</v>
      </c>
      <c r="BK87" s="1023">
        <f t="shared" si="85"/>
        <v>1471901</v>
      </c>
      <c r="BL87" s="1024">
        <f t="shared" si="85"/>
        <v>1471901</v>
      </c>
      <c r="BM87" s="1024">
        <f t="shared" si="85"/>
        <v>47153410</v>
      </c>
      <c r="BN87" s="1024">
        <f t="shared" si="85"/>
        <v>47153410</v>
      </c>
      <c r="BO87" s="1024">
        <f t="shared" si="85"/>
        <v>0</v>
      </c>
      <c r="BP87" s="1023">
        <f t="shared" si="85"/>
        <v>40760475</v>
      </c>
      <c r="BQ87" s="1024">
        <f t="shared" si="85"/>
        <v>40760475</v>
      </c>
      <c r="BR87" s="1024">
        <f t="shared" si="85"/>
        <v>954000</v>
      </c>
      <c r="BS87" s="1024">
        <f t="shared" si="85"/>
        <v>954000</v>
      </c>
      <c r="BT87" s="1024">
        <f t="shared" si="85"/>
        <v>0</v>
      </c>
      <c r="BU87" s="1023">
        <f t="shared" si="85"/>
        <v>1570593</v>
      </c>
      <c r="BV87" s="1024">
        <f t="shared" si="85"/>
        <v>1570593</v>
      </c>
      <c r="BW87" s="1024">
        <f t="shared" si="85"/>
        <v>209856655</v>
      </c>
      <c r="BX87" s="1024">
        <f t="shared" si="85"/>
        <v>212213367</v>
      </c>
      <c r="BY87" s="1024">
        <f t="shared" si="85"/>
        <v>0</v>
      </c>
      <c r="BZ87" s="1024">
        <f t="shared" si="85"/>
        <v>245085005</v>
      </c>
      <c r="CA87" s="1024">
        <f t="shared" si="85"/>
        <v>245085005</v>
      </c>
    </row>
    <row r="88" spans="1:79" s="415" customFormat="1" ht="15" hidden="1" customHeight="1">
      <c r="A88" s="633" t="s">
        <v>765</v>
      </c>
      <c r="B88" s="633"/>
      <c r="C88" s="633"/>
      <c r="D88" s="633"/>
      <c r="E88" s="633"/>
      <c r="F88" s="633"/>
      <c r="G88" s="633"/>
      <c r="H88" s="633"/>
      <c r="I88" s="633"/>
      <c r="J88" s="633"/>
      <c r="K88" s="633"/>
      <c r="L88" s="633"/>
      <c r="M88" s="633"/>
      <c r="N88" s="633"/>
      <c r="O88" s="633"/>
      <c r="P88" s="633"/>
      <c r="Q88" s="633"/>
      <c r="R88" s="633"/>
      <c r="S88" s="633"/>
      <c r="T88" s="633"/>
      <c r="U88" s="633"/>
      <c r="V88" s="633"/>
      <c r="W88" s="633"/>
      <c r="X88" s="633"/>
      <c r="Y88" s="633"/>
      <c r="Z88" s="633"/>
      <c r="AA88" s="633"/>
      <c r="AB88" s="633"/>
      <c r="AC88" s="633"/>
      <c r="AD88" s="633"/>
      <c r="AE88" s="633"/>
      <c r="AF88" s="633"/>
      <c r="AG88" s="633"/>
      <c r="AH88" s="633"/>
      <c r="AI88" s="633"/>
      <c r="AJ88" s="633"/>
      <c r="AK88" s="633"/>
      <c r="AL88" s="633"/>
      <c r="AM88" s="633"/>
      <c r="AN88" s="633"/>
      <c r="AO88" s="633"/>
      <c r="AP88" s="633"/>
      <c r="AQ88" s="633"/>
      <c r="AR88" s="633"/>
      <c r="AS88" s="633"/>
      <c r="AT88" s="633"/>
      <c r="AU88" s="633"/>
      <c r="AV88" s="633"/>
      <c r="AW88" s="633"/>
      <c r="AX88" s="633"/>
      <c r="AY88" s="633"/>
      <c r="AZ88" s="633"/>
      <c r="BA88" s="633"/>
      <c r="BB88" s="633"/>
      <c r="BC88" s="633"/>
      <c r="BD88" s="633"/>
      <c r="BE88" s="633"/>
      <c r="BF88" s="633"/>
      <c r="BG88" s="633"/>
      <c r="BH88" s="633"/>
      <c r="BI88" s="633"/>
      <c r="BJ88" s="633"/>
      <c r="BK88" s="633"/>
      <c r="BL88" s="633"/>
      <c r="BM88" s="633"/>
      <c r="BN88" s="633"/>
      <c r="BO88" s="633"/>
      <c r="BP88" s="633"/>
      <c r="BQ88" s="633"/>
      <c r="BR88" s="633"/>
      <c r="BS88" s="633"/>
      <c r="BT88" s="633"/>
      <c r="BU88" s="633"/>
      <c r="BV88" s="633"/>
      <c r="BW88" s="1037">
        <f t="shared" ref="BW88:BY95" si="86">SUM(G88+L88+Q88+V88+AA88+AF88+AK88+AS88+AX88+BC88+BH88+BM88+BR88)</f>
        <v>0</v>
      </c>
      <c r="BX88" s="1037">
        <f t="shared" si="86"/>
        <v>0</v>
      </c>
      <c r="BY88" s="1014">
        <f t="shared" si="86"/>
        <v>0</v>
      </c>
      <c r="BZ88" s="1020">
        <f t="shared" ref="BZ88:BZ95" si="87">SUM(BX88+BY88)</f>
        <v>0</v>
      </c>
      <c r="CA88" s="519"/>
    </row>
    <row r="89" spans="1:79" s="415" customFormat="1" ht="15" hidden="1" customHeight="1">
      <c r="A89" s="321" t="s">
        <v>766</v>
      </c>
      <c r="B89" s="321"/>
      <c r="C89" s="321"/>
      <c r="D89" s="321"/>
      <c r="E89" s="321"/>
      <c r="F89" s="321"/>
      <c r="G89" s="321"/>
      <c r="H89" s="321"/>
      <c r="I89" s="321"/>
      <c r="J89" s="321"/>
      <c r="K89" s="321"/>
      <c r="L89" s="321"/>
      <c r="M89" s="321"/>
      <c r="N89" s="321"/>
      <c r="O89" s="321"/>
      <c r="P89" s="321"/>
      <c r="Q89" s="321"/>
      <c r="R89" s="321"/>
      <c r="S89" s="321"/>
      <c r="T89" s="321"/>
      <c r="U89" s="321"/>
      <c r="V89" s="321"/>
      <c r="W89" s="321"/>
      <c r="X89" s="321"/>
      <c r="Y89" s="321"/>
      <c r="Z89" s="321"/>
      <c r="AA89" s="321"/>
      <c r="AB89" s="321"/>
      <c r="AC89" s="321"/>
      <c r="AD89" s="321"/>
      <c r="AE89" s="321"/>
      <c r="AF89" s="321"/>
      <c r="AG89" s="321"/>
      <c r="AH89" s="321"/>
      <c r="AI89" s="321"/>
      <c r="AJ89" s="321"/>
      <c r="AK89" s="321"/>
      <c r="AL89" s="321"/>
      <c r="AM89" s="321"/>
      <c r="AN89" s="321"/>
      <c r="AO89" s="321"/>
      <c r="AP89" s="321"/>
      <c r="AQ89" s="321"/>
      <c r="AR89" s="321"/>
      <c r="AS89" s="321"/>
      <c r="AT89" s="321"/>
      <c r="AU89" s="321"/>
      <c r="AV89" s="321"/>
      <c r="AW89" s="321"/>
      <c r="AX89" s="321"/>
      <c r="AY89" s="321"/>
      <c r="AZ89" s="321"/>
      <c r="BA89" s="321"/>
      <c r="BB89" s="321"/>
      <c r="BC89" s="321"/>
      <c r="BD89" s="321"/>
      <c r="BE89" s="321"/>
      <c r="BF89" s="321"/>
      <c r="BG89" s="321"/>
      <c r="BH89" s="321"/>
      <c r="BI89" s="321"/>
      <c r="BJ89" s="321"/>
      <c r="BK89" s="321"/>
      <c r="BL89" s="321"/>
      <c r="BM89" s="321"/>
      <c r="BN89" s="321"/>
      <c r="BO89" s="321"/>
      <c r="BP89" s="321"/>
      <c r="BQ89" s="321"/>
      <c r="BR89" s="321"/>
      <c r="BS89" s="321"/>
      <c r="BT89" s="321"/>
      <c r="BU89" s="321"/>
      <c r="BV89" s="321"/>
      <c r="BW89" s="1037">
        <f t="shared" si="86"/>
        <v>0</v>
      </c>
      <c r="BX89" s="1037">
        <f t="shared" si="86"/>
        <v>0</v>
      </c>
      <c r="BY89" s="1014">
        <f t="shared" si="86"/>
        <v>0</v>
      </c>
      <c r="BZ89" s="1020">
        <f t="shared" si="87"/>
        <v>0</v>
      </c>
      <c r="CA89" s="519"/>
    </row>
    <row r="90" spans="1:79" s="415" customFormat="1" ht="15" hidden="1" customHeight="1">
      <c r="A90" s="321" t="s">
        <v>767</v>
      </c>
      <c r="B90" s="321"/>
      <c r="C90" s="321"/>
      <c r="D90" s="321"/>
      <c r="E90" s="321"/>
      <c r="F90" s="321"/>
      <c r="G90" s="321"/>
      <c r="H90" s="321"/>
      <c r="I90" s="321"/>
      <c r="J90" s="321"/>
      <c r="K90" s="321"/>
      <c r="L90" s="321"/>
      <c r="M90" s="321"/>
      <c r="N90" s="321"/>
      <c r="O90" s="321"/>
      <c r="P90" s="321"/>
      <c r="Q90" s="321"/>
      <c r="R90" s="321"/>
      <c r="S90" s="321"/>
      <c r="T90" s="321"/>
      <c r="U90" s="321"/>
      <c r="V90" s="321"/>
      <c r="W90" s="321"/>
      <c r="X90" s="321"/>
      <c r="Y90" s="321"/>
      <c r="Z90" s="321"/>
      <c r="AA90" s="321"/>
      <c r="AB90" s="321"/>
      <c r="AC90" s="321"/>
      <c r="AD90" s="321"/>
      <c r="AE90" s="321"/>
      <c r="AF90" s="321"/>
      <c r="AG90" s="321"/>
      <c r="AH90" s="321"/>
      <c r="AI90" s="321"/>
      <c r="AJ90" s="321"/>
      <c r="AK90" s="321"/>
      <c r="AL90" s="321"/>
      <c r="AM90" s="321"/>
      <c r="AN90" s="321"/>
      <c r="AO90" s="321"/>
      <c r="AP90" s="321"/>
      <c r="AQ90" s="321"/>
      <c r="AR90" s="321"/>
      <c r="AS90" s="321"/>
      <c r="AT90" s="321"/>
      <c r="AU90" s="321"/>
      <c r="AV90" s="321"/>
      <c r="AW90" s="321"/>
      <c r="AX90" s="321"/>
      <c r="AY90" s="321"/>
      <c r="AZ90" s="321"/>
      <c r="BA90" s="321"/>
      <c r="BB90" s="321"/>
      <c r="BC90" s="321"/>
      <c r="BD90" s="321"/>
      <c r="BE90" s="321"/>
      <c r="BF90" s="321"/>
      <c r="BG90" s="321"/>
      <c r="BH90" s="321"/>
      <c r="BI90" s="321"/>
      <c r="BJ90" s="321"/>
      <c r="BK90" s="321"/>
      <c r="BL90" s="321"/>
      <c r="BM90" s="321"/>
      <c r="BN90" s="321"/>
      <c r="BO90" s="321"/>
      <c r="BP90" s="321"/>
      <c r="BQ90" s="321"/>
      <c r="BR90" s="321"/>
      <c r="BS90" s="321"/>
      <c r="BT90" s="321"/>
      <c r="BU90" s="321"/>
      <c r="BV90" s="321"/>
      <c r="BW90" s="1037">
        <f t="shared" si="86"/>
        <v>0</v>
      </c>
      <c r="BX90" s="1037">
        <f t="shared" si="86"/>
        <v>0</v>
      </c>
      <c r="BY90" s="1014">
        <f t="shared" si="86"/>
        <v>0</v>
      </c>
      <c r="BZ90" s="1020">
        <f t="shared" si="87"/>
        <v>0</v>
      </c>
      <c r="CA90" s="519"/>
    </row>
    <row r="91" spans="1:79" s="415" customFormat="1" ht="15" hidden="1" customHeight="1">
      <c r="A91" s="321" t="s">
        <v>768</v>
      </c>
      <c r="B91" s="321"/>
      <c r="C91" s="321"/>
      <c r="D91" s="321"/>
      <c r="E91" s="321"/>
      <c r="F91" s="321"/>
      <c r="G91" s="321"/>
      <c r="H91" s="321"/>
      <c r="I91" s="321"/>
      <c r="J91" s="321"/>
      <c r="K91" s="321"/>
      <c r="L91" s="321"/>
      <c r="M91" s="321"/>
      <c r="N91" s="321"/>
      <c r="O91" s="321"/>
      <c r="P91" s="321"/>
      <c r="Q91" s="321"/>
      <c r="R91" s="321"/>
      <c r="S91" s="321"/>
      <c r="T91" s="321"/>
      <c r="U91" s="321"/>
      <c r="V91" s="321"/>
      <c r="W91" s="321"/>
      <c r="X91" s="321"/>
      <c r="Y91" s="321"/>
      <c r="Z91" s="321"/>
      <c r="AA91" s="321"/>
      <c r="AB91" s="321"/>
      <c r="AC91" s="321"/>
      <c r="AD91" s="321"/>
      <c r="AE91" s="321"/>
      <c r="AF91" s="321"/>
      <c r="AG91" s="321"/>
      <c r="AH91" s="321"/>
      <c r="AI91" s="321"/>
      <c r="AJ91" s="321"/>
      <c r="AK91" s="321"/>
      <c r="AL91" s="321"/>
      <c r="AM91" s="321"/>
      <c r="AN91" s="321"/>
      <c r="AO91" s="321"/>
      <c r="AP91" s="321"/>
      <c r="AQ91" s="321"/>
      <c r="AR91" s="321"/>
      <c r="AS91" s="321"/>
      <c r="AT91" s="321"/>
      <c r="AU91" s="321"/>
      <c r="AV91" s="321"/>
      <c r="AW91" s="321"/>
      <c r="AX91" s="321"/>
      <c r="AY91" s="321"/>
      <c r="AZ91" s="321"/>
      <c r="BA91" s="321"/>
      <c r="BB91" s="321"/>
      <c r="BC91" s="321"/>
      <c r="BD91" s="321"/>
      <c r="BE91" s="321"/>
      <c r="BF91" s="321"/>
      <c r="BG91" s="321"/>
      <c r="BH91" s="321"/>
      <c r="BI91" s="321"/>
      <c r="BJ91" s="321"/>
      <c r="BK91" s="321"/>
      <c r="BL91" s="321"/>
      <c r="BM91" s="321"/>
      <c r="BN91" s="321"/>
      <c r="BO91" s="321"/>
      <c r="BP91" s="321"/>
      <c r="BQ91" s="321"/>
      <c r="BR91" s="321"/>
      <c r="BS91" s="321"/>
      <c r="BT91" s="321"/>
      <c r="BU91" s="321"/>
      <c r="BV91" s="321"/>
      <c r="BW91" s="1037">
        <f t="shared" si="86"/>
        <v>0</v>
      </c>
      <c r="BX91" s="1037">
        <f t="shared" si="86"/>
        <v>0</v>
      </c>
      <c r="BY91" s="1014">
        <f t="shared" si="86"/>
        <v>0</v>
      </c>
      <c r="BZ91" s="1020">
        <f t="shared" si="87"/>
        <v>0</v>
      </c>
      <c r="CA91" s="519"/>
    </row>
    <row r="92" spans="1:79" s="415" customFormat="1" ht="15" hidden="1" customHeight="1">
      <c r="A92" s="321" t="s">
        <v>769</v>
      </c>
      <c r="B92" s="321"/>
      <c r="C92" s="321"/>
      <c r="D92" s="321"/>
      <c r="E92" s="321"/>
      <c r="F92" s="321"/>
      <c r="G92" s="321"/>
      <c r="H92" s="321"/>
      <c r="I92" s="321"/>
      <c r="J92" s="321"/>
      <c r="K92" s="321"/>
      <c r="L92" s="321"/>
      <c r="M92" s="321"/>
      <c r="N92" s="321"/>
      <c r="O92" s="321"/>
      <c r="P92" s="321"/>
      <c r="Q92" s="321"/>
      <c r="R92" s="321"/>
      <c r="S92" s="321"/>
      <c r="T92" s="321"/>
      <c r="U92" s="321"/>
      <c r="V92" s="321"/>
      <c r="W92" s="321"/>
      <c r="X92" s="321"/>
      <c r="Y92" s="321"/>
      <c r="Z92" s="321"/>
      <c r="AA92" s="321"/>
      <c r="AB92" s="321"/>
      <c r="AC92" s="321"/>
      <c r="AD92" s="321"/>
      <c r="AE92" s="321"/>
      <c r="AF92" s="321"/>
      <c r="AG92" s="321"/>
      <c r="AH92" s="321"/>
      <c r="AI92" s="321"/>
      <c r="AJ92" s="321"/>
      <c r="AK92" s="321"/>
      <c r="AL92" s="321"/>
      <c r="AM92" s="321"/>
      <c r="AN92" s="321"/>
      <c r="AO92" s="321"/>
      <c r="AP92" s="321"/>
      <c r="AQ92" s="321"/>
      <c r="AR92" s="321"/>
      <c r="AS92" s="321"/>
      <c r="AT92" s="321"/>
      <c r="AU92" s="321"/>
      <c r="AV92" s="321"/>
      <c r="AW92" s="321"/>
      <c r="AX92" s="321"/>
      <c r="AY92" s="321"/>
      <c r="AZ92" s="321"/>
      <c r="BA92" s="321"/>
      <c r="BB92" s="321"/>
      <c r="BC92" s="321"/>
      <c r="BD92" s="321"/>
      <c r="BE92" s="321"/>
      <c r="BF92" s="321"/>
      <c r="BG92" s="321"/>
      <c r="BH92" s="321"/>
      <c r="BI92" s="321"/>
      <c r="BJ92" s="321"/>
      <c r="BK92" s="321"/>
      <c r="BL92" s="321"/>
      <c r="BM92" s="321"/>
      <c r="BN92" s="321"/>
      <c r="BO92" s="321"/>
      <c r="BP92" s="321"/>
      <c r="BQ92" s="321"/>
      <c r="BR92" s="321"/>
      <c r="BS92" s="321"/>
      <c r="BT92" s="321"/>
      <c r="BU92" s="321"/>
      <c r="BV92" s="321"/>
      <c r="BW92" s="1037">
        <f t="shared" si="86"/>
        <v>0</v>
      </c>
      <c r="BX92" s="1037">
        <f t="shared" si="86"/>
        <v>0</v>
      </c>
      <c r="BY92" s="1014">
        <f t="shared" si="86"/>
        <v>0</v>
      </c>
      <c r="BZ92" s="1020">
        <f t="shared" si="87"/>
        <v>0</v>
      </c>
      <c r="CA92" s="519"/>
    </row>
    <row r="93" spans="1:79" s="415" customFormat="1" ht="15" hidden="1" customHeight="1">
      <c r="A93" s="321" t="s">
        <v>770</v>
      </c>
      <c r="B93" s="321"/>
      <c r="C93" s="321"/>
      <c r="D93" s="321"/>
      <c r="E93" s="321"/>
      <c r="F93" s="321"/>
      <c r="G93" s="321"/>
      <c r="H93" s="321"/>
      <c r="I93" s="321"/>
      <c r="J93" s="321"/>
      <c r="K93" s="321"/>
      <c r="L93" s="321"/>
      <c r="M93" s="321"/>
      <c r="N93" s="321"/>
      <c r="O93" s="321"/>
      <c r="P93" s="321"/>
      <c r="Q93" s="321"/>
      <c r="R93" s="321"/>
      <c r="S93" s="321"/>
      <c r="T93" s="321"/>
      <c r="U93" s="321"/>
      <c r="V93" s="321"/>
      <c r="W93" s="321"/>
      <c r="X93" s="321"/>
      <c r="Y93" s="321"/>
      <c r="Z93" s="321"/>
      <c r="AA93" s="321"/>
      <c r="AB93" s="321"/>
      <c r="AC93" s="321"/>
      <c r="AD93" s="321"/>
      <c r="AE93" s="321"/>
      <c r="AF93" s="321"/>
      <c r="AG93" s="321"/>
      <c r="AH93" s="321"/>
      <c r="AI93" s="321"/>
      <c r="AJ93" s="321"/>
      <c r="AK93" s="321"/>
      <c r="AL93" s="321"/>
      <c r="AM93" s="321"/>
      <c r="AN93" s="321"/>
      <c r="AO93" s="321"/>
      <c r="AP93" s="321"/>
      <c r="AQ93" s="321"/>
      <c r="AR93" s="321"/>
      <c r="AS93" s="321"/>
      <c r="AT93" s="321"/>
      <c r="AU93" s="321"/>
      <c r="AV93" s="321"/>
      <c r="AW93" s="321"/>
      <c r="AX93" s="321"/>
      <c r="AY93" s="321"/>
      <c r="AZ93" s="321"/>
      <c r="BA93" s="321"/>
      <c r="BB93" s="321"/>
      <c r="BC93" s="321"/>
      <c r="BD93" s="321"/>
      <c r="BE93" s="321"/>
      <c r="BF93" s="321"/>
      <c r="BG93" s="321"/>
      <c r="BH93" s="321"/>
      <c r="BI93" s="321"/>
      <c r="BJ93" s="321"/>
      <c r="BK93" s="321"/>
      <c r="BL93" s="321"/>
      <c r="BM93" s="321"/>
      <c r="BN93" s="321"/>
      <c r="BO93" s="321"/>
      <c r="BP93" s="321"/>
      <c r="BQ93" s="321"/>
      <c r="BR93" s="321"/>
      <c r="BS93" s="321"/>
      <c r="BT93" s="321"/>
      <c r="BU93" s="321"/>
      <c r="BV93" s="321"/>
      <c r="BW93" s="1037">
        <f t="shared" si="86"/>
        <v>0</v>
      </c>
      <c r="BX93" s="1037">
        <f t="shared" si="86"/>
        <v>0</v>
      </c>
      <c r="BY93" s="1014">
        <f t="shared" si="86"/>
        <v>0</v>
      </c>
      <c r="BZ93" s="1020">
        <f t="shared" si="87"/>
        <v>0</v>
      </c>
      <c r="CA93" s="519"/>
    </row>
    <row r="94" spans="1:79" s="415" customFormat="1" ht="15" hidden="1" customHeight="1">
      <c r="A94" s="321" t="s">
        <v>771</v>
      </c>
      <c r="B94" s="321"/>
      <c r="C94" s="321"/>
      <c r="D94" s="321"/>
      <c r="E94" s="321"/>
      <c r="F94" s="321"/>
      <c r="G94" s="321"/>
      <c r="H94" s="321"/>
      <c r="I94" s="321"/>
      <c r="J94" s="321"/>
      <c r="K94" s="321"/>
      <c r="L94" s="321"/>
      <c r="M94" s="321"/>
      <c r="N94" s="321"/>
      <c r="O94" s="321"/>
      <c r="P94" s="321"/>
      <c r="Q94" s="321"/>
      <c r="R94" s="321"/>
      <c r="S94" s="321"/>
      <c r="T94" s="321"/>
      <c r="U94" s="321"/>
      <c r="V94" s="321"/>
      <c r="W94" s="321"/>
      <c r="X94" s="321"/>
      <c r="Y94" s="321"/>
      <c r="Z94" s="321"/>
      <c r="AA94" s="321"/>
      <c r="AB94" s="321"/>
      <c r="AC94" s="321"/>
      <c r="AD94" s="321"/>
      <c r="AE94" s="321"/>
      <c r="AF94" s="321"/>
      <c r="AG94" s="321"/>
      <c r="AH94" s="321"/>
      <c r="AI94" s="321"/>
      <c r="AJ94" s="321"/>
      <c r="AK94" s="321"/>
      <c r="AL94" s="321"/>
      <c r="AM94" s="321"/>
      <c r="AN94" s="321"/>
      <c r="AO94" s="321"/>
      <c r="AP94" s="321"/>
      <c r="AQ94" s="321"/>
      <c r="AR94" s="321"/>
      <c r="AS94" s="321"/>
      <c r="AT94" s="321"/>
      <c r="AU94" s="321"/>
      <c r="AV94" s="321"/>
      <c r="AW94" s="321"/>
      <c r="AX94" s="321"/>
      <c r="AY94" s="321"/>
      <c r="AZ94" s="321"/>
      <c r="BA94" s="321"/>
      <c r="BB94" s="321"/>
      <c r="BC94" s="321"/>
      <c r="BD94" s="321"/>
      <c r="BE94" s="321"/>
      <c r="BF94" s="321"/>
      <c r="BG94" s="321"/>
      <c r="BH94" s="321"/>
      <c r="BI94" s="321"/>
      <c r="BJ94" s="321"/>
      <c r="BK94" s="321"/>
      <c r="BL94" s="321"/>
      <c r="BM94" s="321"/>
      <c r="BN94" s="321"/>
      <c r="BO94" s="321"/>
      <c r="BP94" s="321"/>
      <c r="BQ94" s="321"/>
      <c r="BR94" s="321"/>
      <c r="BS94" s="321"/>
      <c r="BT94" s="321"/>
      <c r="BU94" s="321"/>
      <c r="BV94" s="321"/>
      <c r="BW94" s="1037">
        <f t="shared" si="86"/>
        <v>0</v>
      </c>
      <c r="BX94" s="1037">
        <f t="shared" si="86"/>
        <v>0</v>
      </c>
      <c r="BY94" s="1014">
        <f t="shared" si="86"/>
        <v>0</v>
      </c>
      <c r="BZ94" s="1020">
        <f t="shared" si="87"/>
        <v>0</v>
      </c>
      <c r="CA94" s="519"/>
    </row>
    <row r="95" spans="1:79" s="415" customFormat="1" ht="15" hidden="1" customHeight="1">
      <c r="A95" s="633" t="s">
        <v>772</v>
      </c>
      <c r="B95" s="633"/>
      <c r="C95" s="633"/>
      <c r="D95" s="633"/>
      <c r="E95" s="633"/>
      <c r="F95" s="633"/>
      <c r="G95" s="633"/>
      <c r="H95" s="633"/>
      <c r="I95" s="633"/>
      <c r="J95" s="633"/>
      <c r="K95" s="633"/>
      <c r="L95" s="633"/>
      <c r="M95" s="633"/>
      <c r="N95" s="633"/>
      <c r="O95" s="633"/>
      <c r="P95" s="633"/>
      <c r="Q95" s="633"/>
      <c r="R95" s="633"/>
      <c r="S95" s="633"/>
      <c r="T95" s="633"/>
      <c r="U95" s="633"/>
      <c r="V95" s="633"/>
      <c r="W95" s="633"/>
      <c r="X95" s="633"/>
      <c r="Y95" s="633"/>
      <c r="Z95" s="633"/>
      <c r="AA95" s="633"/>
      <c r="AB95" s="633"/>
      <c r="AC95" s="633"/>
      <c r="AD95" s="633"/>
      <c r="AE95" s="633"/>
      <c r="AF95" s="633"/>
      <c r="AG95" s="633"/>
      <c r="AH95" s="633"/>
      <c r="AI95" s="633"/>
      <c r="AJ95" s="633"/>
      <c r="AK95" s="633"/>
      <c r="AL95" s="633"/>
      <c r="AM95" s="633"/>
      <c r="AN95" s="633"/>
      <c r="AO95" s="633"/>
      <c r="AP95" s="633"/>
      <c r="AQ95" s="633"/>
      <c r="AR95" s="633"/>
      <c r="AS95" s="633"/>
      <c r="AT95" s="633"/>
      <c r="AU95" s="633"/>
      <c r="AV95" s="633"/>
      <c r="AW95" s="633"/>
      <c r="AX95" s="633"/>
      <c r="AY95" s="633"/>
      <c r="AZ95" s="633"/>
      <c r="BA95" s="633"/>
      <c r="BB95" s="633"/>
      <c r="BC95" s="633"/>
      <c r="BD95" s="633"/>
      <c r="BE95" s="633"/>
      <c r="BF95" s="633"/>
      <c r="BG95" s="633"/>
      <c r="BH95" s="633"/>
      <c r="BI95" s="633"/>
      <c r="BJ95" s="633"/>
      <c r="BK95" s="633"/>
      <c r="BL95" s="633"/>
      <c r="BM95" s="633"/>
      <c r="BN95" s="633"/>
      <c r="BO95" s="633"/>
      <c r="BP95" s="633"/>
      <c r="BQ95" s="633"/>
      <c r="BR95" s="633"/>
      <c r="BS95" s="633"/>
      <c r="BT95" s="633"/>
      <c r="BU95" s="633"/>
      <c r="BV95" s="633"/>
      <c r="BW95" s="1037">
        <f t="shared" si="86"/>
        <v>0</v>
      </c>
      <c r="BX95" s="1037">
        <f t="shared" si="86"/>
        <v>0</v>
      </c>
      <c r="BY95" s="1014">
        <f t="shared" si="86"/>
        <v>0</v>
      </c>
      <c r="BZ95" s="1020">
        <f t="shared" si="87"/>
        <v>0</v>
      </c>
      <c r="CA95" s="519"/>
    </row>
    <row r="96" spans="1:79" s="633" customFormat="1" ht="15" customHeight="1">
      <c r="A96" s="633" t="s">
        <v>773</v>
      </c>
      <c r="D96" s="1018"/>
      <c r="E96" s="1010">
        <f>SUM(C96+D96)</f>
        <v>0</v>
      </c>
      <c r="F96" s="1010"/>
      <c r="I96" s="1018"/>
      <c r="J96" s="1010">
        <f>SUM(H96+I96)</f>
        <v>0</v>
      </c>
      <c r="K96" s="1010"/>
      <c r="N96" s="1018"/>
      <c r="O96" s="1010">
        <f>SUM(M96+N96)</f>
        <v>0</v>
      </c>
      <c r="P96" s="1010"/>
      <c r="S96" s="1018"/>
      <c r="T96" s="1010">
        <f>SUM(R96+S96)</f>
        <v>0</v>
      </c>
      <c r="U96" s="1010"/>
      <c r="X96" s="1018"/>
      <c r="Y96" s="1010">
        <f>SUM(W96+X96)</f>
        <v>0</v>
      </c>
      <c r="Z96" s="1010"/>
      <c r="AC96" s="1018"/>
      <c r="AD96" s="1010">
        <f>SUM(AB96+AC96)</f>
        <v>0</v>
      </c>
      <c r="AE96" s="1010"/>
      <c r="AH96" s="1018"/>
      <c r="AI96" s="1010">
        <f>SUM(AG96+AH96)</f>
        <v>0</v>
      </c>
      <c r="AJ96" s="1010"/>
      <c r="AM96" s="1018"/>
      <c r="AN96" s="1010">
        <f>SUM(AL96+AM96)</f>
        <v>0</v>
      </c>
      <c r="AO96" s="1010"/>
      <c r="AP96" s="1010"/>
      <c r="AQ96" s="1010">
        <v>0</v>
      </c>
      <c r="AR96" s="1010"/>
      <c r="AU96" s="1018"/>
      <c r="AV96" s="1010">
        <f>SUM(AT96+AU96)</f>
        <v>0</v>
      </c>
      <c r="AW96" s="1010"/>
      <c r="AZ96" s="1018"/>
      <c r="BA96" s="1010">
        <f>SUM(AY96+AZ96)</f>
        <v>0</v>
      </c>
      <c r="BB96" s="1010"/>
      <c r="BE96" s="1018"/>
      <c r="BF96" s="1010">
        <f>SUM(BD96+BE96)</f>
        <v>0</v>
      </c>
      <c r="BG96" s="1010"/>
      <c r="BJ96" s="1018"/>
      <c r="BK96" s="1010">
        <f>SUM(BI96+BJ96)</f>
        <v>0</v>
      </c>
      <c r="BL96" s="1010"/>
      <c r="BO96" s="1018"/>
      <c r="BP96" s="1010">
        <f>SUM(BN96+BO96)</f>
        <v>0</v>
      </c>
      <c r="BQ96" s="1010"/>
      <c r="BT96" s="1018"/>
      <c r="BU96" s="1010">
        <f>SUM(BS96+BT96)</f>
        <v>0</v>
      </c>
      <c r="BV96" s="1010"/>
      <c r="BW96" s="1013">
        <f t="shared" ref="BW96:BW102" si="88">SUM(B96+G96+L96+Q96+V96+AA96+AF96+AK96+AS96+AX96+BC96+BH96+BM96+BR96+AP96)</f>
        <v>0</v>
      </c>
      <c r="BX96" s="1013">
        <f t="shared" ref="BX96:BX102" si="89">SUM(C96+H96+M96+R96+W96+AB96+AG96+AL96+AT96+AY96+BD96+BI96+BN96+BS96)</f>
        <v>0</v>
      </c>
      <c r="BY96" s="1014">
        <f t="shared" ref="BY96:BY102" si="90">SUM(I96+N96+S96+X96+AC96+AH96+AM96+AU96+AZ96+BE96+BJ96+BO96+BT96+D96)</f>
        <v>0</v>
      </c>
      <c r="BZ96" s="1015">
        <f t="shared" ref="BZ96:CA102" si="91">SUM(E96+J96+O96+T96+Y96+AD96+AI96+AN96+AV96+BA96+BF96+BK96+BP96+BU96+AQ96)</f>
        <v>0</v>
      </c>
      <c r="CA96" s="1015">
        <f t="shared" si="91"/>
        <v>0</v>
      </c>
    </row>
    <row r="97" spans="1:164" s="415" customFormat="1" ht="15" customHeight="1">
      <c r="A97" s="633" t="s">
        <v>774</v>
      </c>
      <c r="B97" s="633"/>
      <c r="C97" s="633"/>
      <c r="D97" s="1018"/>
      <c r="E97" s="1010">
        <f>SUM(C97+D97)</f>
        <v>0</v>
      </c>
      <c r="F97" s="1010"/>
      <c r="G97" s="633"/>
      <c r="H97" s="633"/>
      <c r="I97" s="1018"/>
      <c r="J97" s="1010">
        <f>SUM(H97+I97)</f>
        <v>0</v>
      </c>
      <c r="K97" s="1010"/>
      <c r="L97" s="633"/>
      <c r="M97" s="633"/>
      <c r="N97" s="1018"/>
      <c r="O97" s="1010">
        <f>SUM(M97+N97)</f>
        <v>0</v>
      </c>
      <c r="P97" s="1010"/>
      <c r="Q97" s="633"/>
      <c r="R97" s="633"/>
      <c r="S97" s="1018"/>
      <c r="T97" s="1010">
        <f>SUM(R97+S97)</f>
        <v>0</v>
      </c>
      <c r="U97" s="1010"/>
      <c r="V97" s="633"/>
      <c r="W97" s="633"/>
      <c r="X97" s="1018"/>
      <c r="Y97" s="1010">
        <f>SUM(W97+X97)</f>
        <v>0</v>
      </c>
      <c r="Z97" s="1010"/>
      <c r="AA97" s="633"/>
      <c r="AB97" s="633"/>
      <c r="AC97" s="1018"/>
      <c r="AD97" s="1010">
        <f>SUM(AB97+AC97)</f>
        <v>0</v>
      </c>
      <c r="AE97" s="1010"/>
      <c r="AF97" s="633"/>
      <c r="AG97" s="633"/>
      <c r="AH97" s="1018"/>
      <c r="AI97" s="1010">
        <f>SUM(AG97+AH97)</f>
        <v>0</v>
      </c>
      <c r="AJ97" s="1010"/>
      <c r="AK97" s="633"/>
      <c r="AL97" s="633"/>
      <c r="AM97" s="1018"/>
      <c r="AN97" s="1010">
        <f>SUM(AL97+AM97)</f>
        <v>0</v>
      </c>
      <c r="AO97" s="1010"/>
      <c r="AP97" s="1010"/>
      <c r="AQ97" s="1010">
        <v>0</v>
      </c>
      <c r="AR97" s="1010"/>
      <c r="AS97" s="633"/>
      <c r="AT97" s="633"/>
      <c r="AU97" s="1018"/>
      <c r="AV97" s="1010">
        <f>SUM(AT97+AU97)</f>
        <v>0</v>
      </c>
      <c r="AW97" s="1010"/>
      <c r="AX97" s="633"/>
      <c r="AY97" s="633"/>
      <c r="AZ97" s="1018"/>
      <c r="BA97" s="1010">
        <f>SUM(AY97+AZ97)</f>
        <v>0</v>
      </c>
      <c r="BB97" s="1010"/>
      <c r="BC97" s="633"/>
      <c r="BD97" s="633"/>
      <c r="BE97" s="1018"/>
      <c r="BF97" s="1010">
        <f>SUM(BD97+BE97)</f>
        <v>0</v>
      </c>
      <c r="BG97" s="1010"/>
      <c r="BH97" s="633"/>
      <c r="BI97" s="633"/>
      <c r="BJ97" s="1018"/>
      <c r="BK97" s="1010">
        <f>SUM(BI97+BJ97)</f>
        <v>0</v>
      </c>
      <c r="BL97" s="1010"/>
      <c r="BM97" s="633"/>
      <c r="BN97" s="633"/>
      <c r="BO97" s="1018"/>
      <c r="BP97" s="1010">
        <f>SUM(BN97+BO97)</f>
        <v>0</v>
      </c>
      <c r="BQ97" s="1010"/>
      <c r="BR97" s="633"/>
      <c r="BS97" s="633"/>
      <c r="BT97" s="1018"/>
      <c r="BU97" s="1010">
        <f>SUM(BS97+BT97)</f>
        <v>0</v>
      </c>
      <c r="BV97" s="1010"/>
      <c r="BW97" s="1013">
        <f t="shared" si="88"/>
        <v>0</v>
      </c>
      <c r="BX97" s="1013">
        <f t="shared" si="89"/>
        <v>0</v>
      </c>
      <c r="BY97" s="1014">
        <f t="shared" si="90"/>
        <v>0</v>
      </c>
      <c r="BZ97" s="1015">
        <f t="shared" si="91"/>
        <v>0</v>
      </c>
      <c r="CA97" s="1015">
        <f t="shared" si="91"/>
        <v>0</v>
      </c>
    </row>
    <row r="98" spans="1:164" s="415" customFormat="1" ht="15" customHeight="1">
      <c r="A98" s="321" t="s">
        <v>775</v>
      </c>
      <c r="B98" s="321"/>
      <c r="C98" s="321"/>
      <c r="D98" s="1021"/>
      <c r="E98" s="1010">
        <f>SUM(C98+D98)</f>
        <v>0</v>
      </c>
      <c r="F98" s="1010"/>
      <c r="G98" s="321"/>
      <c r="H98" s="321"/>
      <c r="I98" s="1021"/>
      <c r="J98" s="1010">
        <f>SUM(H98+I98)</f>
        <v>0</v>
      </c>
      <c r="K98" s="1010"/>
      <c r="L98" s="321"/>
      <c r="M98" s="321"/>
      <c r="N98" s="1021"/>
      <c r="O98" s="1010">
        <f>SUM(M98+N98)</f>
        <v>0</v>
      </c>
      <c r="P98" s="1010"/>
      <c r="Q98" s="321"/>
      <c r="R98" s="321"/>
      <c r="S98" s="1021"/>
      <c r="T98" s="1010">
        <f>SUM(R98+S98)</f>
        <v>0</v>
      </c>
      <c r="U98" s="1010"/>
      <c r="V98" s="321"/>
      <c r="W98" s="321"/>
      <c r="X98" s="1021"/>
      <c r="Y98" s="1010">
        <f>SUM(W98+X98)</f>
        <v>0</v>
      </c>
      <c r="Z98" s="1010"/>
      <c r="AA98" s="321"/>
      <c r="AB98" s="321"/>
      <c r="AC98" s="1021"/>
      <c r="AD98" s="1010">
        <f>SUM(AB98+AC98)</f>
        <v>0</v>
      </c>
      <c r="AE98" s="1010"/>
      <c r="AF98" s="321"/>
      <c r="AG98" s="321"/>
      <c r="AH98" s="1021"/>
      <c r="AI98" s="1010">
        <f>SUM(AG98+AH98)</f>
        <v>0</v>
      </c>
      <c r="AJ98" s="1010"/>
      <c r="AK98" s="321"/>
      <c r="AL98" s="321"/>
      <c r="AM98" s="1021"/>
      <c r="AN98" s="1010">
        <f>SUM(AL98+AM98)</f>
        <v>0</v>
      </c>
      <c r="AO98" s="1010"/>
      <c r="AP98" s="1010"/>
      <c r="AQ98" s="1010">
        <v>0</v>
      </c>
      <c r="AR98" s="1010"/>
      <c r="AS98" s="321"/>
      <c r="AT98" s="321"/>
      <c r="AU98" s="1021"/>
      <c r="AV98" s="1010">
        <f>SUM(AT98+AU98)</f>
        <v>0</v>
      </c>
      <c r="AW98" s="1010"/>
      <c r="AX98" s="321"/>
      <c r="AY98" s="321"/>
      <c r="AZ98" s="1021"/>
      <c r="BA98" s="1010">
        <f>SUM(AY98+AZ98)</f>
        <v>0</v>
      </c>
      <c r="BB98" s="1010"/>
      <c r="BC98" s="321"/>
      <c r="BD98" s="321"/>
      <c r="BE98" s="1021"/>
      <c r="BF98" s="1010">
        <f>SUM(BD98+BE98)</f>
        <v>0</v>
      </c>
      <c r="BG98" s="1010"/>
      <c r="BH98" s="321"/>
      <c r="BI98" s="321"/>
      <c r="BJ98" s="1021"/>
      <c r="BK98" s="1010">
        <f>SUM(BI98+BJ98)</f>
        <v>0</v>
      </c>
      <c r="BL98" s="1010"/>
      <c r="BM98" s="321"/>
      <c r="BN98" s="321"/>
      <c r="BO98" s="1021"/>
      <c r="BP98" s="1010">
        <f>SUM(BN98+BO98)</f>
        <v>0</v>
      </c>
      <c r="BQ98" s="1010"/>
      <c r="BR98" s="321"/>
      <c r="BS98" s="321"/>
      <c r="BT98" s="1021"/>
      <c r="BU98" s="1010">
        <f>SUM(BS98+BT98)</f>
        <v>0</v>
      </c>
      <c r="BV98" s="1010"/>
      <c r="BW98" s="1013">
        <f t="shared" si="88"/>
        <v>0</v>
      </c>
      <c r="BX98" s="1013">
        <f t="shared" si="89"/>
        <v>0</v>
      </c>
      <c r="BY98" s="1014">
        <f t="shared" si="90"/>
        <v>0</v>
      </c>
      <c r="BZ98" s="1015">
        <f t="shared" si="91"/>
        <v>0</v>
      </c>
      <c r="CA98" s="1015">
        <f t="shared" si="91"/>
        <v>0</v>
      </c>
    </row>
    <row r="99" spans="1:164" s="415" customFormat="1" ht="15" customHeight="1">
      <c r="A99" s="321" t="s">
        <v>776</v>
      </c>
      <c r="B99" s="321"/>
      <c r="C99" s="321"/>
      <c r="D99" s="1021"/>
      <c r="E99" s="1010">
        <f>SUM(C99+D99)</f>
        <v>0</v>
      </c>
      <c r="F99" s="1010"/>
      <c r="G99" s="1011">
        <v>8733497</v>
      </c>
      <c r="H99" s="1011">
        <v>8733497</v>
      </c>
      <c r="I99" s="1021"/>
      <c r="J99" s="1010">
        <v>9357133</v>
      </c>
      <c r="K99" s="1010">
        <v>9357133</v>
      </c>
      <c r="L99" s="1011">
        <v>34294956</v>
      </c>
      <c r="M99" s="1011">
        <v>34294956</v>
      </c>
      <c r="N99" s="1021"/>
      <c r="O99" s="1010">
        <v>30849301</v>
      </c>
      <c r="P99" s="1010">
        <v>30849301</v>
      </c>
      <c r="Q99" s="1011">
        <v>18106032</v>
      </c>
      <c r="R99" s="1011">
        <v>18106032</v>
      </c>
      <c r="S99" s="1021"/>
      <c r="T99" s="1010">
        <v>18494959</v>
      </c>
      <c r="U99" s="1010">
        <v>18494959</v>
      </c>
      <c r="V99" s="1011">
        <v>18461053</v>
      </c>
      <c r="W99" s="1011">
        <v>18461053</v>
      </c>
      <c r="X99" s="1021"/>
      <c r="Y99" s="1010">
        <v>17910139</v>
      </c>
      <c r="Z99" s="1010">
        <v>17910139</v>
      </c>
      <c r="AA99" s="1011">
        <v>24141377</v>
      </c>
      <c r="AB99" s="1011">
        <v>24141377</v>
      </c>
      <c r="AC99" s="1021"/>
      <c r="AD99" s="1010">
        <v>23977655</v>
      </c>
      <c r="AE99" s="1010">
        <v>23977655</v>
      </c>
      <c r="AF99" s="1011">
        <v>11147636</v>
      </c>
      <c r="AG99" s="1011">
        <v>11147636</v>
      </c>
      <c r="AH99" s="1021"/>
      <c r="AI99" s="1010">
        <v>11623315</v>
      </c>
      <c r="AJ99" s="1010">
        <v>11623315</v>
      </c>
      <c r="AK99" s="1010"/>
      <c r="AL99" s="1010"/>
      <c r="AM99" s="1021"/>
      <c r="AN99" s="1010">
        <f>SUM(AL99+AM99)</f>
        <v>0</v>
      </c>
      <c r="AO99" s="1010"/>
      <c r="AP99" s="1010"/>
      <c r="AQ99" s="1010">
        <v>9210928</v>
      </c>
      <c r="AR99" s="1010">
        <v>9210928</v>
      </c>
      <c r="AS99" s="1011">
        <v>21798244</v>
      </c>
      <c r="AT99" s="1011">
        <v>21798244</v>
      </c>
      <c r="AU99" s="1021"/>
      <c r="AV99" s="1010">
        <v>20761141</v>
      </c>
      <c r="AW99" s="1010">
        <v>20761141</v>
      </c>
      <c r="AX99" s="1011">
        <v>8875506</v>
      </c>
      <c r="AY99" s="1011">
        <v>8875506</v>
      </c>
      <c r="AZ99" s="1021"/>
      <c r="BA99" s="1010">
        <v>8260594</v>
      </c>
      <c r="BB99" s="1010">
        <v>8260594</v>
      </c>
      <c r="BC99" s="1010">
        <v>23218325</v>
      </c>
      <c r="BD99" s="1010">
        <v>23218325</v>
      </c>
      <c r="BE99" s="1009"/>
      <c r="BF99" s="1010">
        <v>20761141</v>
      </c>
      <c r="BG99" s="1010">
        <v>20761141</v>
      </c>
      <c r="BH99" s="321"/>
      <c r="BI99" s="321"/>
      <c r="BJ99" s="1021"/>
      <c r="BK99" s="1010">
        <f>SUM(BI99+BJ99)</f>
        <v>0</v>
      </c>
      <c r="BL99" s="1010"/>
      <c r="BM99" s="1011">
        <v>37419134</v>
      </c>
      <c r="BN99" s="1011">
        <v>37419134</v>
      </c>
      <c r="BO99" s="1021"/>
      <c r="BP99" s="1010">
        <v>34285122</v>
      </c>
      <c r="BQ99" s="1010">
        <v>34285122</v>
      </c>
      <c r="BR99" s="1011">
        <v>7313417</v>
      </c>
      <c r="BS99" s="1011">
        <v>7313417</v>
      </c>
      <c r="BT99" s="1009"/>
      <c r="BU99" s="1010">
        <v>4166848</v>
      </c>
      <c r="BV99" s="1010">
        <v>4166848</v>
      </c>
      <c r="BW99" s="1013">
        <f t="shared" si="88"/>
        <v>213509177</v>
      </c>
      <c r="BX99" s="1013">
        <f t="shared" si="89"/>
        <v>213509177</v>
      </c>
      <c r="BY99" s="1014">
        <f t="shared" si="90"/>
        <v>0</v>
      </c>
      <c r="BZ99" s="1015">
        <f t="shared" si="91"/>
        <v>209658276</v>
      </c>
      <c r="CA99" s="1015">
        <f t="shared" si="91"/>
        <v>209658276</v>
      </c>
    </row>
    <row r="100" spans="1:164" s="415" customFormat="1" ht="15" customHeight="1">
      <c r="A100" s="404" t="s">
        <v>777</v>
      </c>
      <c r="B100" s="633">
        <v>4299000</v>
      </c>
      <c r="C100" s="1011">
        <v>4857102</v>
      </c>
      <c r="D100" s="1033">
        <v>8400000</v>
      </c>
      <c r="E100" s="1010">
        <v>11598344</v>
      </c>
      <c r="F100" s="1010">
        <v>11046985</v>
      </c>
      <c r="G100" s="1011">
        <v>11161000</v>
      </c>
      <c r="H100" s="1011">
        <v>11674990</v>
      </c>
      <c r="I100" s="1033">
        <v>11600000</v>
      </c>
      <c r="J100" s="1010">
        <v>32831527</v>
      </c>
      <c r="K100" s="1010">
        <v>32367907</v>
      </c>
      <c r="L100" s="1011">
        <v>22644000</v>
      </c>
      <c r="M100" s="1011">
        <v>33926343</v>
      </c>
      <c r="N100" s="1009">
        <v>18535806</v>
      </c>
      <c r="O100" s="1010">
        <v>76476345</v>
      </c>
      <c r="P100" s="1010">
        <v>73979733</v>
      </c>
      <c r="Q100" s="1011">
        <v>17142000</v>
      </c>
      <c r="R100" s="1011">
        <v>23175488</v>
      </c>
      <c r="S100" s="1009">
        <v>7700000</v>
      </c>
      <c r="T100" s="1010">
        <v>37672885</v>
      </c>
      <c r="U100" s="1010">
        <v>36647970</v>
      </c>
      <c r="V100" s="1011">
        <v>11765000</v>
      </c>
      <c r="W100" s="1011">
        <v>13256307</v>
      </c>
      <c r="X100" s="1009">
        <v>11600000</v>
      </c>
      <c r="Y100" s="1010">
        <v>40267236</v>
      </c>
      <c r="Z100" s="1010">
        <v>39042804</v>
      </c>
      <c r="AA100" s="1011">
        <v>8150000</v>
      </c>
      <c r="AB100" s="1011">
        <v>9653030</v>
      </c>
      <c r="AC100" s="1009">
        <v>7100000</v>
      </c>
      <c r="AD100" s="1010">
        <v>21974350</v>
      </c>
      <c r="AE100" s="1010">
        <v>20997577</v>
      </c>
      <c r="AF100" s="1011">
        <v>11434000</v>
      </c>
      <c r="AG100" s="1011">
        <v>14764477</v>
      </c>
      <c r="AH100" s="1033">
        <v>9500000</v>
      </c>
      <c r="AI100" s="1010">
        <v>41432959</v>
      </c>
      <c r="AJ100" s="1010">
        <v>40899469</v>
      </c>
      <c r="AK100" s="1010">
        <v>31550000</v>
      </c>
      <c r="AL100" s="1010">
        <v>33788840</v>
      </c>
      <c r="AM100" s="1033"/>
      <c r="AN100" s="1010">
        <v>13752369</v>
      </c>
      <c r="AO100" s="1010">
        <v>13752369</v>
      </c>
      <c r="AP100" s="1010"/>
      <c r="AQ100" s="1010">
        <v>20750756</v>
      </c>
      <c r="AR100" s="1010">
        <v>19091479</v>
      </c>
      <c r="AS100" s="1011">
        <v>7866000</v>
      </c>
      <c r="AT100" s="1011">
        <v>9235952</v>
      </c>
      <c r="AU100" s="1009">
        <v>13800000</v>
      </c>
      <c r="AV100" s="1010">
        <v>46825076</v>
      </c>
      <c r="AW100" s="1010">
        <v>45903392</v>
      </c>
      <c r="AX100" s="1011">
        <v>28487000</v>
      </c>
      <c r="AY100" s="1011">
        <v>30688114</v>
      </c>
      <c r="AZ100" s="1009">
        <v>18200000</v>
      </c>
      <c r="BA100" s="1010">
        <v>70864332</v>
      </c>
      <c r="BB100" s="1010">
        <v>69753924</v>
      </c>
      <c r="BC100" s="1010">
        <v>43539000</v>
      </c>
      <c r="BD100" s="1010">
        <v>47847994</v>
      </c>
      <c r="BE100" s="1009">
        <v>9700000</v>
      </c>
      <c r="BF100" s="1010">
        <v>69136854</v>
      </c>
      <c r="BG100" s="1010">
        <v>67305259</v>
      </c>
      <c r="BH100" s="1011">
        <v>6100000</v>
      </c>
      <c r="BI100" s="1011">
        <v>6499656</v>
      </c>
      <c r="BJ100" s="1009">
        <v>1200000</v>
      </c>
      <c r="BK100" s="1010">
        <v>8660894</v>
      </c>
      <c r="BL100" s="1010">
        <v>8487486</v>
      </c>
      <c r="BM100" s="1011">
        <v>17630000</v>
      </c>
      <c r="BN100" s="1011">
        <v>20660122</v>
      </c>
      <c r="BO100" s="1009">
        <v>21100000</v>
      </c>
      <c r="BP100" s="1010">
        <v>73081551</v>
      </c>
      <c r="BQ100" s="1010">
        <v>70820963</v>
      </c>
      <c r="BR100" s="1011">
        <v>30110000</v>
      </c>
      <c r="BS100" s="1011">
        <v>15239413</v>
      </c>
      <c r="BT100" s="1009">
        <v>15663000</v>
      </c>
      <c r="BU100" s="1010">
        <v>41455914</v>
      </c>
      <c r="BV100" s="1010">
        <v>41429338</v>
      </c>
      <c r="BW100" s="1013">
        <f t="shared" si="88"/>
        <v>251877000</v>
      </c>
      <c r="BX100" s="1013">
        <f t="shared" si="89"/>
        <v>275267828</v>
      </c>
      <c r="BY100" s="1014">
        <f t="shared" si="90"/>
        <v>154098806</v>
      </c>
      <c r="BZ100" s="1015">
        <f t="shared" si="91"/>
        <v>606781392</v>
      </c>
      <c r="CA100" s="1015">
        <f t="shared" si="91"/>
        <v>591526655</v>
      </c>
    </row>
    <row r="101" spans="1:164" s="415" customFormat="1" ht="15" customHeight="1">
      <c r="A101" s="321" t="s">
        <v>778</v>
      </c>
      <c r="B101" s="321"/>
      <c r="C101" s="321"/>
      <c r="D101" s="1021"/>
      <c r="E101" s="1010">
        <f>SUM(C101+D101)</f>
        <v>0</v>
      </c>
      <c r="F101" s="1010"/>
      <c r="G101" s="321"/>
      <c r="H101" s="321"/>
      <c r="I101" s="1021"/>
      <c r="J101" s="1010">
        <f>SUM(H101+I101)</f>
        <v>0</v>
      </c>
      <c r="K101" s="1010"/>
      <c r="L101" s="321"/>
      <c r="M101" s="1011"/>
      <c r="N101" s="1021"/>
      <c r="O101" s="1010">
        <f>SUM(M101+N101)</f>
        <v>0</v>
      </c>
      <c r="P101" s="1010"/>
      <c r="Q101" s="321"/>
      <c r="R101" s="321"/>
      <c r="S101" s="1021"/>
      <c r="T101" s="1010">
        <f>SUM(R101+S101)</f>
        <v>0</v>
      </c>
      <c r="U101" s="1010"/>
      <c r="V101" s="321"/>
      <c r="W101" s="321"/>
      <c r="X101" s="1021"/>
      <c r="Y101" s="1010">
        <f>SUM(W101+X101)</f>
        <v>0</v>
      </c>
      <c r="Z101" s="1010"/>
      <c r="AA101" s="321"/>
      <c r="AB101" s="321"/>
      <c r="AC101" s="1021"/>
      <c r="AD101" s="1010">
        <f>SUM(AB101+AC101)</f>
        <v>0</v>
      </c>
      <c r="AE101" s="1010"/>
      <c r="AF101" s="321"/>
      <c r="AG101" s="321"/>
      <c r="AH101" s="1021"/>
      <c r="AI101" s="1010">
        <f>SUM(AG101+AH101)</f>
        <v>0</v>
      </c>
      <c r="AJ101" s="1010"/>
      <c r="AK101" s="321"/>
      <c r="AL101" s="321"/>
      <c r="AM101" s="1021"/>
      <c r="AN101" s="1010">
        <f>SUM(AL101+AM101)</f>
        <v>0</v>
      </c>
      <c r="AO101" s="1010"/>
      <c r="AP101" s="1010"/>
      <c r="AQ101" s="1010"/>
      <c r="AR101" s="1010"/>
      <c r="AS101" s="321"/>
      <c r="AT101" s="321"/>
      <c r="AU101" s="1021"/>
      <c r="AV101" s="1010">
        <f>SUM(AT101+AU101)</f>
        <v>0</v>
      </c>
      <c r="AW101" s="1010"/>
      <c r="AX101" s="321"/>
      <c r="AY101" s="321"/>
      <c r="AZ101" s="1021"/>
      <c r="BA101" s="1010">
        <f>SUM(AY101+AZ101)</f>
        <v>0</v>
      </c>
      <c r="BB101" s="1010"/>
      <c r="BC101" s="1011"/>
      <c r="BD101" s="321"/>
      <c r="BE101" s="1021"/>
      <c r="BF101" s="1010">
        <f>SUM(BD101+BE101)</f>
        <v>0</v>
      </c>
      <c r="BG101" s="1010"/>
      <c r="BH101" s="321"/>
      <c r="BI101" s="321"/>
      <c r="BJ101" s="1021"/>
      <c r="BK101" s="1010">
        <f>SUM(BI101+BJ101)</f>
        <v>0</v>
      </c>
      <c r="BL101" s="1010"/>
      <c r="BM101" s="321"/>
      <c r="BN101" s="321"/>
      <c r="BO101" s="1021"/>
      <c r="BP101" s="1010">
        <f>SUM(BN101+BO101)</f>
        <v>0</v>
      </c>
      <c r="BQ101" s="1010"/>
      <c r="BR101" s="321"/>
      <c r="BS101" s="321"/>
      <c r="BT101" s="1021"/>
      <c r="BU101" s="1010">
        <f>SUM(BS101+BT101)</f>
        <v>0</v>
      </c>
      <c r="BV101" s="1010"/>
      <c r="BW101" s="1013">
        <f t="shared" si="88"/>
        <v>0</v>
      </c>
      <c r="BX101" s="1013">
        <f t="shared" si="89"/>
        <v>0</v>
      </c>
      <c r="BY101" s="1014">
        <f t="shared" si="90"/>
        <v>0</v>
      </c>
      <c r="BZ101" s="1015">
        <f t="shared" si="91"/>
        <v>0</v>
      </c>
      <c r="CA101" s="1015">
        <f t="shared" si="91"/>
        <v>0</v>
      </c>
    </row>
    <row r="102" spans="1:164" s="415" customFormat="1" ht="15" customHeight="1">
      <c r="A102" s="321" t="s">
        <v>779</v>
      </c>
      <c r="B102" s="321">
        <v>3175000</v>
      </c>
      <c r="C102" s="321">
        <v>3175000</v>
      </c>
      <c r="D102" s="1021">
        <v>-1811274</v>
      </c>
      <c r="E102" s="1010">
        <f>SUM(C102+D102)</f>
        <v>1363726</v>
      </c>
      <c r="F102" s="1010">
        <v>1363726</v>
      </c>
      <c r="G102" s="321">
        <v>8255000</v>
      </c>
      <c r="H102" s="1011">
        <v>26614400</v>
      </c>
      <c r="I102" s="1021">
        <v>-6008923</v>
      </c>
      <c r="J102" s="1010">
        <f>SUM(H102+I102)</f>
        <v>20605477</v>
      </c>
      <c r="K102" s="1010">
        <v>20605477</v>
      </c>
      <c r="L102" s="321"/>
      <c r="M102" s="321">
        <v>959062</v>
      </c>
      <c r="N102" s="1021">
        <v>43990</v>
      </c>
      <c r="O102" s="1010">
        <v>1092087</v>
      </c>
      <c r="P102" s="1010">
        <v>1092087</v>
      </c>
      <c r="Q102" s="321"/>
      <c r="R102" s="1019"/>
      <c r="S102" s="1021">
        <v>14990</v>
      </c>
      <c r="T102" s="1010">
        <v>97090</v>
      </c>
      <c r="U102" s="1010">
        <v>97090</v>
      </c>
      <c r="V102" s="321">
        <v>27940000</v>
      </c>
      <c r="W102" s="1011">
        <v>27940000</v>
      </c>
      <c r="X102" s="1021">
        <v>-27940000</v>
      </c>
      <c r="Y102" s="1010">
        <f>SUM(W102+X102)</f>
        <v>0</v>
      </c>
      <c r="Z102" s="1010"/>
      <c r="AA102" s="321">
        <v>36830000</v>
      </c>
      <c r="AB102" s="321">
        <v>46137086</v>
      </c>
      <c r="AC102" s="1009">
        <v>-36830000</v>
      </c>
      <c r="AD102" s="1010">
        <v>13137793</v>
      </c>
      <c r="AE102" s="1010">
        <v>13137431</v>
      </c>
      <c r="AF102" s="321">
        <v>27940000</v>
      </c>
      <c r="AG102" s="321">
        <v>42418000</v>
      </c>
      <c r="AH102" s="1021">
        <v>-27850361</v>
      </c>
      <c r="AI102" s="1010">
        <v>14574443</v>
      </c>
      <c r="AJ102" s="1010">
        <v>14508403</v>
      </c>
      <c r="AK102" s="321"/>
      <c r="AL102" s="321"/>
      <c r="AM102" s="1021"/>
      <c r="AN102" s="1010">
        <f>SUM(AL102+AM102)</f>
        <v>0</v>
      </c>
      <c r="AO102" s="1010"/>
      <c r="AP102" s="1010"/>
      <c r="AQ102" s="1010">
        <v>383448</v>
      </c>
      <c r="AR102" s="1010">
        <v>383448</v>
      </c>
      <c r="AS102" s="321">
        <v>74930000</v>
      </c>
      <c r="AT102" s="321">
        <v>74930000</v>
      </c>
      <c r="AU102" s="1021">
        <v>-74930000</v>
      </c>
      <c r="AV102" s="1010">
        <f>SUM(AT102+AU102)</f>
        <v>0</v>
      </c>
      <c r="AW102" s="1010"/>
      <c r="AX102" s="321">
        <v>27432000</v>
      </c>
      <c r="AY102" s="1019">
        <v>240309</v>
      </c>
      <c r="AZ102" s="1021">
        <v>61722</v>
      </c>
      <c r="BA102" s="1010">
        <v>393151</v>
      </c>
      <c r="BB102" s="1010">
        <v>393151</v>
      </c>
      <c r="BC102" s="1011"/>
      <c r="BD102" s="321">
        <v>194818</v>
      </c>
      <c r="BE102" s="1009"/>
      <c r="BF102" s="1010">
        <v>668798</v>
      </c>
      <c r="BG102" s="1010">
        <v>473980</v>
      </c>
      <c r="BH102" s="321">
        <v>11430000</v>
      </c>
      <c r="BI102" s="321">
        <v>11430000</v>
      </c>
      <c r="BJ102" s="1021">
        <v>-1349896</v>
      </c>
      <c r="BK102" s="1010">
        <f>SUM(BI102+BJ102)</f>
        <v>10080104</v>
      </c>
      <c r="BL102" s="1010">
        <v>8718397</v>
      </c>
      <c r="BM102" s="321">
        <v>38735000</v>
      </c>
      <c r="BN102" s="1019">
        <v>40830500</v>
      </c>
      <c r="BO102" s="1009">
        <v>-38663324</v>
      </c>
      <c r="BP102" s="1010">
        <v>2104341</v>
      </c>
      <c r="BQ102" s="1010">
        <v>2104341</v>
      </c>
      <c r="BR102" s="321"/>
      <c r="BS102" s="321">
        <v>18539000</v>
      </c>
      <c r="BT102" s="1021">
        <v>52185</v>
      </c>
      <c r="BU102" s="1010">
        <v>21609082</v>
      </c>
      <c r="BV102" s="1010">
        <v>21609082</v>
      </c>
      <c r="BW102" s="1013">
        <f t="shared" si="88"/>
        <v>256667000</v>
      </c>
      <c r="BX102" s="1013">
        <f t="shared" si="89"/>
        <v>293408175</v>
      </c>
      <c r="BY102" s="1014">
        <f t="shared" si="90"/>
        <v>-215210891</v>
      </c>
      <c r="BZ102" s="1015">
        <f t="shared" si="91"/>
        <v>86109540</v>
      </c>
      <c r="CA102" s="1015">
        <f t="shared" si="91"/>
        <v>84486613</v>
      </c>
    </row>
    <row r="103" spans="1:164" s="415" customFormat="1" ht="15" hidden="1" customHeight="1">
      <c r="A103" s="321" t="s">
        <v>780</v>
      </c>
      <c r="B103" s="321"/>
      <c r="C103" s="321"/>
      <c r="D103" s="321"/>
      <c r="E103" s="321"/>
      <c r="F103" s="321"/>
      <c r="G103" s="321"/>
      <c r="H103" s="321"/>
      <c r="I103" s="321"/>
      <c r="J103" s="321"/>
      <c r="K103" s="321"/>
      <c r="L103" s="321"/>
      <c r="M103" s="321"/>
      <c r="N103" s="321"/>
      <c r="O103" s="321"/>
      <c r="P103" s="321"/>
      <c r="Q103" s="321"/>
      <c r="R103" s="321"/>
      <c r="S103" s="321"/>
      <c r="T103" s="321"/>
      <c r="U103" s="321"/>
      <c r="V103" s="321"/>
      <c r="W103" s="321"/>
      <c r="X103" s="321"/>
      <c r="Y103" s="321"/>
      <c r="Z103" s="321"/>
      <c r="AA103" s="321"/>
      <c r="AB103" s="321"/>
      <c r="AC103" s="321"/>
      <c r="AD103" s="321"/>
      <c r="AE103" s="321"/>
      <c r="AF103" s="321"/>
      <c r="AG103" s="321"/>
      <c r="AH103" s="321"/>
      <c r="AI103" s="321"/>
      <c r="AJ103" s="321"/>
      <c r="AK103" s="321"/>
      <c r="AL103" s="321"/>
      <c r="AM103" s="321"/>
      <c r="AN103" s="321"/>
      <c r="AO103" s="321"/>
      <c r="AP103" s="321"/>
      <c r="AQ103" s="321"/>
      <c r="AR103" s="321"/>
      <c r="AS103" s="321"/>
      <c r="AT103" s="321"/>
      <c r="AU103" s="321"/>
      <c r="AV103" s="321"/>
      <c r="AW103" s="321"/>
      <c r="AX103" s="321"/>
      <c r="AY103" s="321"/>
      <c r="AZ103" s="321"/>
      <c r="BA103" s="321"/>
      <c r="BB103" s="321"/>
      <c r="BC103" s="321"/>
      <c r="BD103" s="321"/>
      <c r="BE103" s="321"/>
      <c r="BF103" s="321"/>
      <c r="BG103" s="321"/>
      <c r="BH103" s="321"/>
      <c r="BI103" s="321"/>
      <c r="BJ103" s="321"/>
      <c r="BK103" s="321"/>
      <c r="BL103" s="321"/>
      <c r="BM103" s="321"/>
      <c r="BN103" s="321"/>
      <c r="BO103" s="321"/>
      <c r="BP103" s="321"/>
      <c r="BQ103" s="321"/>
      <c r="BR103" s="321"/>
      <c r="BS103" s="321"/>
      <c r="BT103" s="321"/>
      <c r="BU103" s="321"/>
      <c r="BV103" s="321"/>
      <c r="BW103" s="1037">
        <f>SUM(G103+L103+Q103+V103+AA103+AF103+AK103+AS103+AX103+BC103+BH103+BM103+BR103)</f>
        <v>0</v>
      </c>
      <c r="BX103" s="1037">
        <f>SUM(H103+M103+R103+W103+AB103+AG103+AL103+AT103+AY103+BD103+BI103+BN103+BS103)</f>
        <v>0</v>
      </c>
      <c r="BY103" s="1014">
        <f>SUM(I103+N103+S103+X103+AC103+AH103+AM103+AU103+AZ103+BE103+BJ103+BO103+BT103)</f>
        <v>0</v>
      </c>
      <c r="BZ103" s="1020">
        <f>SUM(BX103+BY103)</f>
        <v>0</v>
      </c>
      <c r="CA103" s="519"/>
    </row>
    <row r="104" spans="1:164" s="519" customFormat="1" ht="15" customHeight="1">
      <c r="A104" s="1036" t="s">
        <v>781</v>
      </c>
      <c r="B104" s="1023">
        <f t="shared" ref="B104:AO104" si="92">SUM(B88:B103)</f>
        <v>7474000</v>
      </c>
      <c r="C104" s="1023">
        <f t="shared" si="92"/>
        <v>8032102</v>
      </c>
      <c r="D104" s="1023">
        <f t="shared" si="92"/>
        <v>6588726</v>
      </c>
      <c r="E104" s="1023">
        <f t="shared" si="92"/>
        <v>12962070</v>
      </c>
      <c r="F104" s="1023">
        <f t="shared" si="92"/>
        <v>12410711</v>
      </c>
      <c r="G104" s="1023">
        <f t="shared" si="92"/>
        <v>28149497</v>
      </c>
      <c r="H104" s="1023">
        <f t="shared" si="92"/>
        <v>47022887</v>
      </c>
      <c r="I104" s="1023">
        <f t="shared" si="92"/>
        <v>5591077</v>
      </c>
      <c r="J104" s="1023">
        <f t="shared" si="92"/>
        <v>62794137</v>
      </c>
      <c r="K104" s="1023">
        <f t="shared" si="92"/>
        <v>62330517</v>
      </c>
      <c r="L104" s="1023">
        <f t="shared" si="92"/>
        <v>56938956</v>
      </c>
      <c r="M104" s="1023">
        <f t="shared" si="92"/>
        <v>69180361</v>
      </c>
      <c r="N104" s="1023">
        <f t="shared" si="92"/>
        <v>18579796</v>
      </c>
      <c r="O104" s="1023">
        <f t="shared" si="92"/>
        <v>108417733</v>
      </c>
      <c r="P104" s="1023">
        <f t="shared" si="92"/>
        <v>105921121</v>
      </c>
      <c r="Q104" s="1023">
        <f t="shared" si="92"/>
        <v>35248032</v>
      </c>
      <c r="R104" s="1023">
        <f t="shared" si="92"/>
        <v>41281520</v>
      </c>
      <c r="S104" s="1023">
        <f t="shared" si="92"/>
        <v>7714990</v>
      </c>
      <c r="T104" s="1023">
        <f t="shared" si="92"/>
        <v>56264934</v>
      </c>
      <c r="U104" s="1023">
        <f t="shared" si="92"/>
        <v>55240019</v>
      </c>
      <c r="V104" s="1023">
        <f t="shared" si="92"/>
        <v>58166053</v>
      </c>
      <c r="W104" s="1023">
        <f t="shared" si="92"/>
        <v>59657360</v>
      </c>
      <c r="X104" s="1023">
        <f t="shared" si="92"/>
        <v>-16340000</v>
      </c>
      <c r="Y104" s="1023">
        <f t="shared" si="92"/>
        <v>58177375</v>
      </c>
      <c r="Z104" s="1023">
        <f t="shared" si="92"/>
        <v>56952943</v>
      </c>
      <c r="AA104" s="1023">
        <f t="shared" si="92"/>
        <v>69121377</v>
      </c>
      <c r="AB104" s="1023">
        <f t="shared" si="92"/>
        <v>79931493</v>
      </c>
      <c r="AC104" s="1023">
        <f t="shared" si="92"/>
        <v>-29730000</v>
      </c>
      <c r="AD104" s="1023">
        <f t="shared" si="92"/>
        <v>59089798</v>
      </c>
      <c r="AE104" s="1023">
        <f t="shared" si="92"/>
        <v>58112663</v>
      </c>
      <c r="AF104" s="1023">
        <f t="shared" si="92"/>
        <v>50521636</v>
      </c>
      <c r="AG104" s="1023">
        <f t="shared" si="92"/>
        <v>68330113</v>
      </c>
      <c r="AH104" s="1023">
        <f t="shared" si="92"/>
        <v>-18350361</v>
      </c>
      <c r="AI104" s="1023">
        <f t="shared" si="92"/>
        <v>67630717</v>
      </c>
      <c r="AJ104" s="1023">
        <f t="shared" si="92"/>
        <v>67031187</v>
      </c>
      <c r="AK104" s="1023">
        <f t="shared" si="92"/>
        <v>31550000</v>
      </c>
      <c r="AL104" s="1023">
        <f t="shared" si="92"/>
        <v>33788840</v>
      </c>
      <c r="AM104" s="1023">
        <f t="shared" si="92"/>
        <v>0</v>
      </c>
      <c r="AN104" s="1023">
        <f t="shared" si="92"/>
        <v>13752369</v>
      </c>
      <c r="AO104" s="1023">
        <f t="shared" si="92"/>
        <v>13752369</v>
      </c>
      <c r="AP104" s="1023"/>
      <c r="AQ104" s="1023">
        <v>30345132</v>
      </c>
      <c r="AR104" s="1023">
        <f t="shared" ref="AR104:CA104" si="93">SUM(AR88:AR103)</f>
        <v>28685855</v>
      </c>
      <c r="AS104" s="1023">
        <f t="shared" si="93"/>
        <v>104594244</v>
      </c>
      <c r="AT104" s="1023">
        <f t="shared" si="93"/>
        <v>105964196</v>
      </c>
      <c r="AU104" s="1023">
        <f t="shared" si="93"/>
        <v>-61130000</v>
      </c>
      <c r="AV104" s="1023">
        <f t="shared" si="93"/>
        <v>67586217</v>
      </c>
      <c r="AW104" s="1023">
        <f t="shared" si="93"/>
        <v>66664533</v>
      </c>
      <c r="AX104" s="1023">
        <f t="shared" si="93"/>
        <v>64794506</v>
      </c>
      <c r="AY104" s="1023">
        <f t="shared" si="93"/>
        <v>39803929</v>
      </c>
      <c r="AZ104" s="1023">
        <f t="shared" si="93"/>
        <v>18261722</v>
      </c>
      <c r="BA104" s="1023">
        <f t="shared" si="93"/>
        <v>79518077</v>
      </c>
      <c r="BB104" s="1023">
        <f t="shared" si="93"/>
        <v>78407669</v>
      </c>
      <c r="BC104" s="1023">
        <f t="shared" si="93"/>
        <v>66757325</v>
      </c>
      <c r="BD104" s="1023">
        <f t="shared" si="93"/>
        <v>71261137</v>
      </c>
      <c r="BE104" s="1023">
        <f t="shared" si="93"/>
        <v>9700000</v>
      </c>
      <c r="BF104" s="1023">
        <f t="shared" si="93"/>
        <v>90566793</v>
      </c>
      <c r="BG104" s="1023">
        <f t="shared" si="93"/>
        <v>88540380</v>
      </c>
      <c r="BH104" s="1023">
        <f t="shared" si="93"/>
        <v>17530000</v>
      </c>
      <c r="BI104" s="1023">
        <f t="shared" si="93"/>
        <v>17929656</v>
      </c>
      <c r="BJ104" s="1023">
        <f t="shared" si="93"/>
        <v>-149896</v>
      </c>
      <c r="BK104" s="1023">
        <f t="shared" si="93"/>
        <v>18740998</v>
      </c>
      <c r="BL104" s="1023">
        <f t="shared" si="93"/>
        <v>17205883</v>
      </c>
      <c r="BM104" s="1023">
        <f t="shared" si="93"/>
        <v>93784134</v>
      </c>
      <c r="BN104" s="1023">
        <f t="shared" si="93"/>
        <v>98909756</v>
      </c>
      <c r="BO104" s="1023">
        <f t="shared" si="93"/>
        <v>-17563324</v>
      </c>
      <c r="BP104" s="1023">
        <f t="shared" si="93"/>
        <v>109471014</v>
      </c>
      <c r="BQ104" s="1023">
        <f t="shared" si="93"/>
        <v>107210426</v>
      </c>
      <c r="BR104" s="1023">
        <f t="shared" si="93"/>
        <v>37423417</v>
      </c>
      <c r="BS104" s="1023">
        <f t="shared" si="93"/>
        <v>41091830</v>
      </c>
      <c r="BT104" s="1023">
        <f t="shared" si="93"/>
        <v>15715185</v>
      </c>
      <c r="BU104" s="1023">
        <f t="shared" si="93"/>
        <v>67231844</v>
      </c>
      <c r="BV104" s="1023">
        <f t="shared" si="93"/>
        <v>67205268</v>
      </c>
      <c r="BW104" s="1023">
        <f t="shared" si="93"/>
        <v>722053177</v>
      </c>
      <c r="BX104" s="1023">
        <f t="shared" si="93"/>
        <v>782185180</v>
      </c>
      <c r="BY104" s="1023">
        <f t="shared" si="93"/>
        <v>-61112085</v>
      </c>
      <c r="BZ104" s="1023">
        <f t="shared" si="93"/>
        <v>902549208</v>
      </c>
      <c r="CA104" s="1023">
        <f t="shared" si="93"/>
        <v>885671544</v>
      </c>
    </row>
    <row r="105" spans="1:164" s="519" customFormat="1" ht="15" customHeight="1">
      <c r="A105" s="1038" t="s">
        <v>782</v>
      </c>
      <c r="B105" s="1030">
        <f t="shared" ref="B105:AO105" si="94">SUM(B87+B104)</f>
        <v>21147000</v>
      </c>
      <c r="C105" s="1030">
        <f t="shared" si="94"/>
        <v>24061814</v>
      </c>
      <c r="D105" s="1030">
        <f t="shared" si="94"/>
        <v>6588726</v>
      </c>
      <c r="E105" s="1030">
        <f t="shared" si="94"/>
        <v>41751696</v>
      </c>
      <c r="F105" s="1030">
        <f t="shared" si="94"/>
        <v>41200337</v>
      </c>
      <c r="G105" s="1030">
        <f t="shared" si="94"/>
        <v>28906497</v>
      </c>
      <c r="H105" s="1030">
        <f t="shared" si="94"/>
        <v>47779887</v>
      </c>
      <c r="I105" s="1030">
        <f t="shared" si="94"/>
        <v>5591077</v>
      </c>
      <c r="J105" s="1030">
        <f t="shared" si="94"/>
        <v>66968323</v>
      </c>
      <c r="K105" s="1030">
        <f t="shared" si="94"/>
        <v>66504703</v>
      </c>
      <c r="L105" s="1030">
        <f t="shared" si="94"/>
        <v>98258976</v>
      </c>
      <c r="M105" s="1030">
        <f t="shared" si="94"/>
        <v>110500381</v>
      </c>
      <c r="N105" s="1030">
        <f t="shared" si="94"/>
        <v>18579796</v>
      </c>
      <c r="O105" s="1030">
        <f t="shared" si="94"/>
        <v>147186543</v>
      </c>
      <c r="P105" s="1030">
        <f t="shared" si="94"/>
        <v>144689931</v>
      </c>
      <c r="Q105" s="1030">
        <f t="shared" si="94"/>
        <v>37668032</v>
      </c>
      <c r="R105" s="1030">
        <f t="shared" si="94"/>
        <v>43701520</v>
      </c>
      <c r="S105" s="1030">
        <f t="shared" si="94"/>
        <v>7714990</v>
      </c>
      <c r="T105" s="1030">
        <f t="shared" si="94"/>
        <v>59146596</v>
      </c>
      <c r="U105" s="1030">
        <f t="shared" si="94"/>
        <v>58121681</v>
      </c>
      <c r="V105" s="1030">
        <f t="shared" si="94"/>
        <v>84028583</v>
      </c>
      <c r="W105" s="1030">
        <f t="shared" si="94"/>
        <v>85519890</v>
      </c>
      <c r="X105" s="1030">
        <f t="shared" si="94"/>
        <v>-16340000</v>
      </c>
      <c r="Y105" s="1030">
        <f t="shared" si="94"/>
        <v>83154966</v>
      </c>
      <c r="Z105" s="1030">
        <f t="shared" si="94"/>
        <v>81930534</v>
      </c>
      <c r="AA105" s="1030">
        <f t="shared" si="94"/>
        <v>70417377</v>
      </c>
      <c r="AB105" s="1030">
        <f t="shared" si="94"/>
        <v>81227493</v>
      </c>
      <c r="AC105" s="1030">
        <f t="shared" si="94"/>
        <v>-29730000</v>
      </c>
      <c r="AD105" s="1030">
        <f t="shared" si="94"/>
        <v>62355459</v>
      </c>
      <c r="AE105" s="1030">
        <f t="shared" si="94"/>
        <v>61378324</v>
      </c>
      <c r="AF105" s="1030">
        <f t="shared" si="94"/>
        <v>63545636</v>
      </c>
      <c r="AG105" s="1030">
        <f t="shared" si="94"/>
        <v>81354113</v>
      </c>
      <c r="AH105" s="1030">
        <f t="shared" si="94"/>
        <v>-18350361</v>
      </c>
      <c r="AI105" s="1030">
        <f t="shared" si="94"/>
        <v>82874688</v>
      </c>
      <c r="AJ105" s="1030">
        <f t="shared" si="94"/>
        <v>82275158</v>
      </c>
      <c r="AK105" s="1030">
        <f t="shared" si="94"/>
        <v>31550000</v>
      </c>
      <c r="AL105" s="1030">
        <f t="shared" si="94"/>
        <v>33788840</v>
      </c>
      <c r="AM105" s="1030">
        <f t="shared" si="94"/>
        <v>0</v>
      </c>
      <c r="AN105" s="1030">
        <f t="shared" si="94"/>
        <v>14581081</v>
      </c>
      <c r="AO105" s="1030">
        <f t="shared" si="94"/>
        <v>14581081</v>
      </c>
      <c r="AP105" s="1030"/>
      <c r="AQ105" s="1030">
        <v>48405139</v>
      </c>
      <c r="AR105" s="1030">
        <f t="shared" ref="AR105:CA105" si="95">SUM(AR87+AR104)</f>
        <v>46745862</v>
      </c>
      <c r="AS105" s="1030">
        <f t="shared" si="95"/>
        <v>128691244</v>
      </c>
      <c r="AT105" s="1030">
        <f t="shared" si="95"/>
        <v>130061196</v>
      </c>
      <c r="AU105" s="1030">
        <f t="shared" si="95"/>
        <v>-61130000</v>
      </c>
      <c r="AV105" s="1030">
        <f t="shared" si="95"/>
        <v>91747205</v>
      </c>
      <c r="AW105" s="1030">
        <f t="shared" si="95"/>
        <v>90825521</v>
      </c>
      <c r="AX105" s="1030">
        <f t="shared" si="95"/>
        <v>82467956</v>
      </c>
      <c r="AY105" s="1030">
        <f t="shared" si="95"/>
        <v>57477379</v>
      </c>
      <c r="AZ105" s="1030">
        <f t="shared" si="95"/>
        <v>18261722</v>
      </c>
      <c r="BA105" s="1030">
        <f t="shared" si="95"/>
        <v>96510944</v>
      </c>
      <c r="BB105" s="1030">
        <f t="shared" si="95"/>
        <v>95400536</v>
      </c>
      <c r="BC105" s="1030">
        <f t="shared" si="95"/>
        <v>88383570</v>
      </c>
      <c r="BD105" s="1030">
        <f t="shared" si="95"/>
        <v>92887382</v>
      </c>
      <c r="BE105" s="1030">
        <f t="shared" si="95"/>
        <v>9700000</v>
      </c>
      <c r="BF105" s="1030">
        <f t="shared" si="95"/>
        <v>113704748</v>
      </c>
      <c r="BG105" s="1030">
        <f t="shared" si="95"/>
        <v>111678335</v>
      </c>
      <c r="BH105" s="1030">
        <f t="shared" si="95"/>
        <v>17530000</v>
      </c>
      <c r="BI105" s="1030">
        <f t="shared" si="95"/>
        <v>17929656</v>
      </c>
      <c r="BJ105" s="1030">
        <f t="shared" si="95"/>
        <v>-149896</v>
      </c>
      <c r="BK105" s="1030">
        <f t="shared" si="95"/>
        <v>20212899</v>
      </c>
      <c r="BL105" s="1030">
        <f t="shared" si="95"/>
        <v>18677784</v>
      </c>
      <c r="BM105" s="1030">
        <f t="shared" si="95"/>
        <v>140937544</v>
      </c>
      <c r="BN105" s="1030">
        <f t="shared" si="95"/>
        <v>146063166</v>
      </c>
      <c r="BO105" s="1030">
        <f t="shared" si="95"/>
        <v>-17563324</v>
      </c>
      <c r="BP105" s="1030">
        <f t="shared" si="95"/>
        <v>150231489</v>
      </c>
      <c r="BQ105" s="1030">
        <f t="shared" si="95"/>
        <v>147970901</v>
      </c>
      <c r="BR105" s="1030">
        <f t="shared" si="95"/>
        <v>38377417</v>
      </c>
      <c r="BS105" s="1030">
        <f t="shared" si="95"/>
        <v>42045830</v>
      </c>
      <c r="BT105" s="1030">
        <f t="shared" si="95"/>
        <v>15715185</v>
      </c>
      <c r="BU105" s="1030">
        <f t="shared" si="95"/>
        <v>68802437</v>
      </c>
      <c r="BV105" s="1030">
        <f t="shared" si="95"/>
        <v>68775861</v>
      </c>
      <c r="BW105" s="1030">
        <f t="shared" si="95"/>
        <v>931909832</v>
      </c>
      <c r="BX105" s="1030">
        <f t="shared" si="95"/>
        <v>994398547</v>
      </c>
      <c r="BY105" s="1030">
        <f t="shared" si="95"/>
        <v>-61112085</v>
      </c>
      <c r="BZ105" s="1030">
        <f t="shared" si="95"/>
        <v>1147634213</v>
      </c>
      <c r="CA105" s="1030">
        <f t="shared" si="95"/>
        <v>1130756549</v>
      </c>
    </row>
    <row r="106" spans="1:164" s="415" customFormat="1" ht="15" hidden="1" customHeight="1">
      <c r="A106" s="633" t="s">
        <v>782</v>
      </c>
      <c r="B106" s="1039">
        <f t="shared" ref="B106:AO106" si="96">SUM(B61-B105)</f>
        <v>0</v>
      </c>
      <c r="C106" s="1039">
        <f t="shared" si="96"/>
        <v>0</v>
      </c>
      <c r="D106" s="1039">
        <f t="shared" si="96"/>
        <v>0</v>
      </c>
      <c r="E106" s="1010">
        <f t="shared" si="96"/>
        <v>0</v>
      </c>
      <c r="F106" s="1039">
        <f t="shared" si="96"/>
        <v>0</v>
      </c>
      <c r="G106" s="1039">
        <f t="shared" si="96"/>
        <v>0</v>
      </c>
      <c r="H106" s="1039">
        <f t="shared" si="96"/>
        <v>0</v>
      </c>
      <c r="I106" s="1039">
        <f t="shared" si="96"/>
        <v>0</v>
      </c>
      <c r="J106" s="1010">
        <f t="shared" si="96"/>
        <v>0</v>
      </c>
      <c r="K106" s="1039">
        <f t="shared" si="96"/>
        <v>0</v>
      </c>
      <c r="L106" s="1039">
        <f t="shared" si="96"/>
        <v>0</v>
      </c>
      <c r="M106" s="1039">
        <f t="shared" si="96"/>
        <v>0</v>
      </c>
      <c r="N106" s="1039">
        <f t="shared" si="96"/>
        <v>0</v>
      </c>
      <c r="O106" s="1010">
        <f t="shared" si="96"/>
        <v>0</v>
      </c>
      <c r="P106" s="1039">
        <f t="shared" si="96"/>
        <v>0</v>
      </c>
      <c r="Q106" s="1039">
        <f t="shared" si="96"/>
        <v>0</v>
      </c>
      <c r="R106" s="1039">
        <f t="shared" si="96"/>
        <v>0</v>
      </c>
      <c r="S106" s="1039">
        <f t="shared" si="96"/>
        <v>0</v>
      </c>
      <c r="T106" s="1010">
        <f t="shared" si="96"/>
        <v>0</v>
      </c>
      <c r="U106" s="1039">
        <f t="shared" si="96"/>
        <v>0</v>
      </c>
      <c r="V106" s="1039">
        <f t="shared" si="96"/>
        <v>0</v>
      </c>
      <c r="W106" s="1039">
        <f t="shared" si="96"/>
        <v>0</v>
      </c>
      <c r="X106" s="1039">
        <f t="shared" si="96"/>
        <v>0</v>
      </c>
      <c r="Y106" s="1010">
        <f t="shared" si="96"/>
        <v>0</v>
      </c>
      <c r="Z106" s="1039">
        <f t="shared" si="96"/>
        <v>0</v>
      </c>
      <c r="AA106" s="1039">
        <f t="shared" si="96"/>
        <v>0</v>
      </c>
      <c r="AB106" s="1039">
        <f t="shared" si="96"/>
        <v>0</v>
      </c>
      <c r="AC106" s="1039">
        <f t="shared" si="96"/>
        <v>0</v>
      </c>
      <c r="AD106" s="1010">
        <f t="shared" si="96"/>
        <v>0</v>
      </c>
      <c r="AE106" s="1039">
        <f t="shared" si="96"/>
        <v>0</v>
      </c>
      <c r="AF106" s="1039">
        <f t="shared" si="96"/>
        <v>0</v>
      </c>
      <c r="AG106" s="1039">
        <f t="shared" si="96"/>
        <v>0</v>
      </c>
      <c r="AH106" s="1039">
        <f t="shared" si="96"/>
        <v>0</v>
      </c>
      <c r="AI106" s="1010">
        <f t="shared" si="96"/>
        <v>0</v>
      </c>
      <c r="AJ106" s="1039">
        <f t="shared" si="96"/>
        <v>0</v>
      </c>
      <c r="AK106" s="1039">
        <f t="shared" si="96"/>
        <v>0</v>
      </c>
      <c r="AL106" s="1039">
        <f t="shared" si="96"/>
        <v>0</v>
      </c>
      <c r="AM106" s="1039">
        <f t="shared" si="96"/>
        <v>0</v>
      </c>
      <c r="AN106" s="1010">
        <f t="shared" si="96"/>
        <v>0</v>
      </c>
      <c r="AO106" s="1039">
        <f t="shared" si="96"/>
        <v>0</v>
      </c>
      <c r="AP106" s="1010"/>
      <c r="AQ106" s="1010"/>
      <c r="AR106" s="1010"/>
      <c r="AS106" s="1039">
        <f t="shared" ref="AS106:CA106" si="97">SUM(AS61-AS105)</f>
        <v>0</v>
      </c>
      <c r="AT106" s="1039">
        <f t="shared" si="97"/>
        <v>0</v>
      </c>
      <c r="AU106" s="1039">
        <f t="shared" si="97"/>
        <v>0</v>
      </c>
      <c r="AV106" s="1010">
        <f t="shared" si="97"/>
        <v>0</v>
      </c>
      <c r="AW106" s="1039">
        <f t="shared" si="97"/>
        <v>0</v>
      </c>
      <c r="AX106" s="1039">
        <f t="shared" si="97"/>
        <v>0</v>
      </c>
      <c r="AY106" s="1039">
        <f t="shared" si="97"/>
        <v>0</v>
      </c>
      <c r="AZ106" s="1039">
        <f t="shared" si="97"/>
        <v>0</v>
      </c>
      <c r="BA106" s="1010">
        <f t="shared" si="97"/>
        <v>0</v>
      </c>
      <c r="BB106" s="1039">
        <f t="shared" si="97"/>
        <v>0</v>
      </c>
      <c r="BC106" s="1039">
        <f t="shared" si="97"/>
        <v>0</v>
      </c>
      <c r="BD106" s="1039">
        <f t="shared" si="97"/>
        <v>0</v>
      </c>
      <c r="BE106" s="1039">
        <f t="shared" si="97"/>
        <v>0</v>
      </c>
      <c r="BF106" s="1010">
        <f t="shared" si="97"/>
        <v>0</v>
      </c>
      <c r="BG106" s="1039">
        <f t="shared" si="97"/>
        <v>0</v>
      </c>
      <c r="BH106" s="1039">
        <f t="shared" si="97"/>
        <v>0</v>
      </c>
      <c r="BI106" s="1039">
        <f t="shared" si="97"/>
        <v>0</v>
      </c>
      <c r="BJ106" s="1039">
        <f t="shared" si="97"/>
        <v>0</v>
      </c>
      <c r="BK106" s="1010">
        <f t="shared" si="97"/>
        <v>0</v>
      </c>
      <c r="BL106" s="1039">
        <f t="shared" si="97"/>
        <v>0</v>
      </c>
      <c r="BM106" s="1039">
        <f t="shared" si="97"/>
        <v>0</v>
      </c>
      <c r="BN106" s="1039">
        <f t="shared" si="97"/>
        <v>0</v>
      </c>
      <c r="BO106" s="1039">
        <f t="shared" si="97"/>
        <v>0</v>
      </c>
      <c r="BP106" s="1010">
        <f t="shared" si="97"/>
        <v>0</v>
      </c>
      <c r="BQ106" s="1039">
        <f t="shared" si="97"/>
        <v>0</v>
      </c>
      <c r="BR106" s="1039">
        <f t="shared" si="97"/>
        <v>0</v>
      </c>
      <c r="BS106" s="1039">
        <f t="shared" si="97"/>
        <v>0</v>
      </c>
      <c r="BT106" s="1039">
        <f t="shared" si="97"/>
        <v>0</v>
      </c>
      <c r="BU106" s="1010">
        <f t="shared" si="97"/>
        <v>0</v>
      </c>
      <c r="BV106" s="1039">
        <f t="shared" si="97"/>
        <v>0</v>
      </c>
      <c r="BW106" s="1040">
        <f t="shared" si="97"/>
        <v>0</v>
      </c>
      <c r="BX106" s="1040">
        <f t="shared" si="97"/>
        <v>0</v>
      </c>
      <c r="BY106" s="1040">
        <f t="shared" si="97"/>
        <v>0</v>
      </c>
      <c r="BZ106" s="1040">
        <f t="shared" si="97"/>
        <v>0</v>
      </c>
      <c r="CA106" s="1040">
        <f t="shared" si="97"/>
        <v>0</v>
      </c>
      <c r="CB106" s="633"/>
      <c r="CC106" s="633"/>
      <c r="CD106" s="633"/>
      <c r="CE106" s="633"/>
      <c r="CF106" s="633"/>
      <c r="CG106" s="633"/>
      <c r="CH106" s="633"/>
      <c r="CI106" s="633"/>
      <c r="CJ106" s="633"/>
      <c r="CK106" s="633"/>
      <c r="CL106" s="633"/>
      <c r="CM106" s="633"/>
      <c r="CN106" s="633"/>
      <c r="CO106" s="633"/>
      <c r="CP106" s="633"/>
      <c r="CQ106" s="633"/>
      <c r="CR106" s="633"/>
      <c r="CS106" s="633"/>
      <c r="FH106" s="633">
        <f>FH61-FH105</f>
        <v>0</v>
      </c>
    </row>
    <row r="107" spans="1:164" s="415" customFormat="1" ht="15" hidden="1" customHeight="1">
      <c r="A107" s="415" t="s">
        <v>783</v>
      </c>
      <c r="E107" s="633"/>
      <c r="H107" s="432"/>
      <c r="I107" s="445"/>
      <c r="J107" s="432"/>
      <c r="K107" s="445"/>
      <c r="L107" s="445"/>
      <c r="M107" s="432"/>
      <c r="N107" s="445"/>
      <c r="O107" s="432"/>
      <c r="P107" s="445"/>
      <c r="Q107" s="445"/>
      <c r="R107" s="432"/>
      <c r="S107" s="445"/>
      <c r="T107" s="432"/>
      <c r="U107" s="445"/>
      <c r="V107" s="445"/>
      <c r="W107" s="432"/>
      <c r="X107" s="445"/>
      <c r="Y107" s="432"/>
      <c r="Z107" s="445"/>
      <c r="AA107" s="445"/>
      <c r="AB107" s="432"/>
      <c r="AC107" s="445"/>
      <c r="AD107" s="432"/>
      <c r="AE107" s="445"/>
      <c r="AF107" s="445"/>
      <c r="AG107" s="432"/>
      <c r="AH107" s="445"/>
      <c r="AI107" s="432"/>
      <c r="AJ107" s="445"/>
      <c r="AK107" s="445"/>
      <c r="AL107" s="445"/>
      <c r="AM107" s="445"/>
      <c r="AN107" s="432"/>
      <c r="AO107" s="445"/>
      <c r="AP107" s="432"/>
      <c r="AQ107" s="432"/>
      <c r="AR107" s="432"/>
      <c r="AS107" s="445"/>
      <c r="AT107" s="432"/>
      <c r="AU107" s="432"/>
      <c r="AV107" s="432"/>
      <c r="AW107" s="445"/>
      <c r="AX107" s="445"/>
      <c r="AY107" s="432"/>
      <c r="AZ107" s="432"/>
      <c r="BA107" s="432"/>
      <c r="BB107" s="445"/>
      <c r="BC107" s="445"/>
      <c r="BD107" s="432"/>
      <c r="BE107" s="445"/>
      <c r="BF107" s="432"/>
      <c r="BG107" s="445"/>
      <c r="BH107" s="445"/>
      <c r="BI107" s="445"/>
      <c r="BJ107" s="445"/>
      <c r="BK107" s="432"/>
      <c r="BL107" s="445"/>
      <c r="BM107" s="445"/>
      <c r="BN107" s="445"/>
      <c r="BO107" s="445"/>
      <c r="BP107" s="432"/>
      <c r="BQ107" s="445"/>
      <c r="BR107" s="445"/>
      <c r="BS107" s="445"/>
      <c r="BT107" s="445"/>
      <c r="BU107" s="432"/>
      <c r="BV107" s="445"/>
      <c r="BW107" s="447"/>
      <c r="BX107" s="809"/>
      <c r="BY107" s="809"/>
      <c r="BZ107" s="809"/>
      <c r="CA107" s="809"/>
      <c r="CB107" s="633"/>
      <c r="CC107" s="633"/>
      <c r="CD107" s="633"/>
      <c r="CE107" s="633"/>
      <c r="CF107" s="633"/>
      <c r="CG107" s="633"/>
      <c r="CH107" s="633"/>
      <c r="CI107" s="633"/>
      <c r="CJ107" s="633"/>
      <c r="CK107" s="633"/>
      <c r="CL107" s="633"/>
      <c r="CM107" s="633"/>
      <c r="CN107" s="633"/>
      <c r="CO107" s="633"/>
      <c r="CP107" s="633"/>
      <c r="CQ107" s="633"/>
      <c r="CR107" s="633"/>
      <c r="CS107" s="633"/>
    </row>
    <row r="108" spans="1:164" ht="15" customHeight="1"/>
    <row r="109" spans="1:164" ht="15" customHeight="1">
      <c r="BX109" s="434"/>
      <c r="BZ109" s="519"/>
      <c r="CA109" s="519"/>
    </row>
    <row r="110" spans="1:164" ht="15" customHeight="1">
      <c r="BP110" s="1041"/>
    </row>
    <row r="111" spans="1:164" ht="15" customHeight="1">
      <c r="BP111" s="1041"/>
    </row>
    <row r="112" spans="1:164" ht="15" customHeight="1">
      <c r="BP112" s="1041"/>
    </row>
    <row r="113" spans="68:68" ht="15" customHeight="1">
      <c r="BP113" s="1041"/>
    </row>
    <row r="114" spans="68:68" ht="15" customHeight="1">
      <c r="BP114" s="1041"/>
    </row>
    <row r="115" spans="68:68" ht="15" customHeight="1">
      <c r="BP115" s="1041"/>
    </row>
    <row r="116" spans="68:68" ht="15" customHeight="1">
      <c r="BP116" s="1041"/>
    </row>
    <row r="117" spans="68:68" ht="15" customHeight="1">
      <c r="BP117" s="1041"/>
    </row>
    <row r="118" spans="68:68" ht="15" customHeight="1">
      <c r="BP118" s="1041"/>
    </row>
    <row r="119" spans="68:68" ht="15" customHeight="1">
      <c r="BP119" s="1041"/>
    </row>
    <row r="120" spans="68:68" ht="15" customHeight="1">
      <c r="BP120" s="1041"/>
    </row>
    <row r="121" spans="68:68" ht="15" customHeight="1">
      <c r="BP121" s="1041"/>
    </row>
    <row r="122" spans="68:68" ht="15" customHeight="1">
      <c r="BP122" s="1041"/>
    </row>
    <row r="123" spans="68:68" ht="15" customHeight="1">
      <c r="BP123" s="1041"/>
    </row>
    <row r="124" spans="68:68" ht="15" customHeight="1">
      <c r="BP124" s="1041"/>
    </row>
    <row r="125" spans="68:68" ht="15" customHeight="1">
      <c r="BP125" s="1041"/>
    </row>
    <row r="126" spans="68:68" ht="15" customHeight="1">
      <c r="BP126" s="1041"/>
    </row>
    <row r="127" spans="68:68" ht="15" customHeight="1"/>
    <row r="128" spans="68:6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</sheetData>
  <sheetProtection selectLockedCells="1" selectUnlockedCells="1"/>
  <mergeCells count="47">
    <mergeCell ref="AL4:AN4"/>
    <mergeCell ref="AL3:AN3"/>
    <mergeCell ref="AT3:AV3"/>
    <mergeCell ref="AY3:BA3"/>
    <mergeCell ref="BD3:BF3"/>
    <mergeCell ref="BW2:CA2"/>
    <mergeCell ref="C3:E3"/>
    <mergeCell ref="H3:J3"/>
    <mergeCell ref="M3:O3"/>
    <mergeCell ref="R3:T3"/>
    <mergeCell ref="W3:Y3"/>
    <mergeCell ref="AB3:AD3"/>
    <mergeCell ref="AG3:AI3"/>
    <mergeCell ref="BS3:BU3"/>
    <mergeCell ref="BX3:BZ3"/>
    <mergeCell ref="BI3:BK3"/>
    <mergeCell ref="BN3:BP3"/>
    <mergeCell ref="AX2:BB2"/>
    <mergeCell ref="BC2:BG2"/>
    <mergeCell ref="BH2:BL2"/>
    <mergeCell ref="BM2:BQ2"/>
    <mergeCell ref="BR2:BV2"/>
    <mergeCell ref="AA2:AE2"/>
    <mergeCell ref="AF2:AJ2"/>
    <mergeCell ref="AK2:AO2"/>
    <mergeCell ref="AP2:AR2"/>
    <mergeCell ref="AS2:AW2"/>
    <mergeCell ref="B2:F2"/>
    <mergeCell ref="G2:K2"/>
    <mergeCell ref="L2:P2"/>
    <mergeCell ref="Q2:U2"/>
    <mergeCell ref="V2:Z2"/>
    <mergeCell ref="BD1:BF1"/>
    <mergeCell ref="BI1:BK1"/>
    <mergeCell ref="BN1:BP1"/>
    <mergeCell ref="BS1:BU1"/>
    <mergeCell ref="BX1:BZ1"/>
    <mergeCell ref="AB1:AD1"/>
    <mergeCell ref="AG1:AI1"/>
    <mergeCell ref="AL1:AN1"/>
    <mergeCell ref="AT1:AV1"/>
    <mergeCell ref="AY1:BA1"/>
    <mergeCell ref="C1:E1"/>
    <mergeCell ref="H1:J1"/>
    <mergeCell ref="M1:O1"/>
    <mergeCell ref="R1:T1"/>
    <mergeCell ref="W1:Y1"/>
  </mergeCells>
  <printOptions horizontalCentered="1" verticalCentered="1"/>
  <pageMargins left="0.43307086614173229" right="0.39370078740157483" top="0.74803149606299213" bottom="0.39370078740157483" header="7.874015748031496E-2" footer="0.19685039370078741"/>
  <pageSetup paperSize="9" scale="71" firstPageNumber="0" orientation="portrait" horizontalDpi="300" verticalDpi="300" r:id="rId1"/>
  <headerFooter alignWithMargins="0">
    <oddHeader>&amp;C
&amp;"Arial CE,Félkövér"Állami fenntartású köznevelési intézmények 2016. évi  előirányzatának teljesítése (Ft)&amp;R&amp;8 4.1. m. a 2016. évi költségvetésről szóló 5/2016. (II.29.) ök.rendelet végrehajtásáról szóló 11/2017. (V.3.) ök. rendelethez</oddHeader>
    <oddFooter>&amp;C&amp;P.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57"/>
  </sheetPr>
  <dimension ref="A1:BK172"/>
  <sheetViews>
    <sheetView view="pageBreakPreview" topLeftCell="A2" zoomScaleSheetLayoutView="100" workbookViewId="0">
      <pane xSplit="2" ySplit="6" topLeftCell="AF8" activePane="bottomRight" state="frozen"/>
      <selection activeCell="A2" sqref="A2"/>
      <selection pane="topRight" activeCell="AZ2" sqref="AZ2"/>
      <selection pane="bottomLeft" activeCell="A86" sqref="A86"/>
      <selection pane="bottomRight" activeCell="J21" sqref="J21"/>
    </sheetView>
  </sheetViews>
  <sheetFormatPr defaultRowHeight="15"/>
  <cols>
    <col min="1" max="1" width="53.140625" style="297" customWidth="1"/>
    <col min="2" max="2" width="15.7109375" style="297" customWidth="1"/>
    <col min="3" max="4" width="0" style="297" hidden="1" customWidth="1"/>
    <col min="5" max="5" width="15.7109375" style="630" customWidth="1"/>
    <col min="6" max="6" width="15.7109375" style="297" customWidth="1"/>
    <col min="7" max="7" width="13.7109375" style="297" customWidth="1"/>
    <col min="8" max="9" width="0" style="297" hidden="1" customWidth="1"/>
    <col min="10" max="12" width="13.7109375" style="297" customWidth="1"/>
    <col min="13" max="14" width="0" style="297" hidden="1" customWidth="1"/>
    <col min="15" max="15" width="13.7109375" style="630" customWidth="1"/>
    <col min="16" max="17" width="13.7109375" style="297" customWidth="1"/>
    <col min="18" max="19" width="0" style="297" hidden="1" customWidth="1"/>
    <col min="20" max="22" width="13.7109375" style="297" customWidth="1"/>
    <col min="23" max="24" width="0" style="297" hidden="1" customWidth="1"/>
    <col min="25" max="27" width="13.7109375" style="297" customWidth="1"/>
    <col min="28" max="29" width="0" style="297" hidden="1" customWidth="1"/>
    <col min="30" max="30" width="13.7109375" style="630" customWidth="1"/>
    <col min="31" max="32" width="13.7109375" style="297" customWidth="1"/>
    <col min="33" max="34" width="0" style="297" hidden="1" customWidth="1"/>
    <col min="35" max="35" width="13.7109375" style="630" customWidth="1"/>
    <col min="36" max="36" width="13.7109375" style="297" customWidth="1"/>
    <col min="37" max="37" width="15.5703125" style="297" customWidth="1"/>
    <col min="38" max="39" width="0" style="297" hidden="1" customWidth="1"/>
    <col min="40" max="40" width="15.42578125" style="630" customWidth="1"/>
    <col min="41" max="41" width="15.5703125" style="297" customWidth="1"/>
    <col min="42" max="51" width="0" style="297" hidden="1" customWidth="1"/>
    <col min="52" max="52" width="13.7109375" style="630" customWidth="1"/>
    <col min="53" max="53" width="15.7109375" style="630" customWidth="1"/>
    <col min="54" max="54" width="15.5703125" style="630" customWidth="1"/>
    <col min="55" max="55" width="14.28515625" style="498" customWidth="1"/>
    <col min="56" max="57" width="0" style="519" hidden="1" customWidth="1"/>
    <col min="58" max="58" width="16.140625" style="961" customWidth="1"/>
    <col min="59" max="59" width="15.140625" style="961" customWidth="1"/>
    <col min="60" max="60" width="11.140625" style="415" customWidth="1"/>
    <col min="61" max="61" width="14.140625" style="297" customWidth="1"/>
    <col min="62" max="62" width="17.85546875" style="297" customWidth="1"/>
    <col min="63" max="16384" width="9.140625" style="297"/>
  </cols>
  <sheetData>
    <row r="1" spans="1:60" ht="15.75" hidden="1" customHeight="1">
      <c r="A1" s="957" t="s">
        <v>653</v>
      </c>
      <c r="B1" s="958"/>
      <c r="C1" s="1042"/>
      <c r="D1" s="1043">
        <v>1</v>
      </c>
      <c r="E1" s="1044"/>
      <c r="F1" s="1043"/>
      <c r="G1" s="1043"/>
      <c r="H1" s="1042"/>
      <c r="I1" s="1043">
        <v>2</v>
      </c>
      <c r="J1" s="1045"/>
      <c r="K1" s="1043"/>
      <c r="L1" s="1043"/>
      <c r="M1" s="1042"/>
      <c r="N1" s="1043">
        <v>3</v>
      </c>
      <c r="O1" s="1044"/>
      <c r="P1" s="1043"/>
      <c r="Q1" s="1043"/>
      <c r="R1" s="1042"/>
      <c r="S1" s="1043">
        <v>4</v>
      </c>
      <c r="T1" s="1045"/>
      <c r="U1" s="1043"/>
      <c r="V1" s="1043"/>
      <c r="W1" s="1042"/>
      <c r="X1" s="1043">
        <v>5</v>
      </c>
      <c r="Y1" s="1045"/>
      <c r="Z1" s="1043"/>
      <c r="AA1" s="1043"/>
      <c r="AB1" s="1042"/>
      <c r="AC1" s="1043">
        <v>6</v>
      </c>
      <c r="AD1" s="1044"/>
      <c r="AE1" s="1043"/>
      <c r="AF1" s="1043"/>
      <c r="AG1" s="1042"/>
      <c r="AH1" s="1043">
        <v>7</v>
      </c>
      <c r="AI1" s="1044"/>
      <c r="AJ1" s="1043"/>
      <c r="AK1" s="1043"/>
      <c r="AL1" s="1042"/>
      <c r="AM1" s="1043">
        <v>8</v>
      </c>
      <c r="AN1" s="1044"/>
      <c r="AO1" s="1043"/>
      <c r="AP1" s="1043"/>
      <c r="AQ1" s="1042"/>
      <c r="AR1" s="1043">
        <v>9</v>
      </c>
      <c r="AS1" s="1045"/>
      <c r="AT1" s="1043"/>
      <c r="AU1" s="1043"/>
      <c r="AV1" s="1042"/>
      <c r="AW1" s="1043">
        <v>10</v>
      </c>
      <c r="AX1" s="1045"/>
      <c r="AY1" s="1043"/>
      <c r="AZ1" s="973"/>
      <c r="BA1" s="973"/>
      <c r="BB1" s="973"/>
      <c r="BC1" s="1046"/>
      <c r="BD1" s="1047"/>
      <c r="BE1" s="1048">
        <v>11</v>
      </c>
      <c r="BF1" s="1049"/>
    </row>
    <row r="2" spans="1:60" s="630" customFormat="1" ht="48.75" customHeight="1">
      <c r="A2" s="962" t="s">
        <v>654</v>
      </c>
      <c r="B2" s="1734" t="s">
        <v>801</v>
      </c>
      <c r="C2" s="1734"/>
      <c r="D2" s="1734"/>
      <c r="E2" s="1734"/>
      <c r="F2" s="1734"/>
      <c r="G2" s="1734" t="s">
        <v>802</v>
      </c>
      <c r="H2" s="1734"/>
      <c r="I2" s="1734"/>
      <c r="J2" s="1734"/>
      <c r="K2" s="1734"/>
      <c r="L2" s="1734" t="s">
        <v>803</v>
      </c>
      <c r="M2" s="1734"/>
      <c r="N2" s="1734"/>
      <c r="O2" s="1734"/>
      <c r="P2" s="1734"/>
      <c r="Q2" s="1734" t="s">
        <v>804</v>
      </c>
      <c r="R2" s="1734"/>
      <c r="S2" s="1734"/>
      <c r="T2" s="1734"/>
      <c r="U2" s="1734"/>
      <c r="V2" s="1734" t="s">
        <v>805</v>
      </c>
      <c r="W2" s="1734"/>
      <c r="X2" s="1734"/>
      <c r="Y2" s="1734"/>
      <c r="Z2" s="1734"/>
      <c r="AA2" s="1734" t="s">
        <v>806</v>
      </c>
      <c r="AB2" s="1734"/>
      <c r="AC2" s="1734"/>
      <c r="AD2" s="1734"/>
      <c r="AE2" s="1734"/>
      <c r="AF2" s="1734" t="s">
        <v>807</v>
      </c>
      <c r="AG2" s="1734"/>
      <c r="AH2" s="1734"/>
      <c r="AI2" s="1734"/>
      <c r="AJ2" s="1734"/>
      <c r="AK2" s="1734" t="s">
        <v>808</v>
      </c>
      <c r="AL2" s="1734"/>
      <c r="AM2" s="1734"/>
      <c r="AN2" s="1734"/>
      <c r="AO2" s="1734"/>
      <c r="AP2" s="1734"/>
      <c r="AQ2" s="1734"/>
      <c r="AR2" s="1734"/>
      <c r="AS2" s="1734"/>
      <c r="AT2" s="1734"/>
      <c r="AU2" s="957"/>
      <c r="AV2" s="1734"/>
      <c r="AW2" s="1734"/>
      <c r="AX2" s="1734"/>
      <c r="AY2" s="1050"/>
      <c r="AZ2" s="1734" t="s">
        <v>809</v>
      </c>
      <c r="BA2" s="1734"/>
      <c r="BB2" s="1734"/>
      <c r="BC2" s="1741" t="s">
        <v>810</v>
      </c>
      <c r="BD2" s="1741"/>
      <c r="BE2" s="1741"/>
      <c r="BF2" s="1741"/>
      <c r="BG2" s="1741"/>
      <c r="BH2" s="633"/>
    </row>
    <row r="3" spans="1:60" s="405" customFormat="1" ht="14.25" customHeight="1">
      <c r="A3" s="962" t="s">
        <v>811</v>
      </c>
      <c r="B3" s="962"/>
      <c r="C3" s="1742" t="s">
        <v>812</v>
      </c>
      <c r="D3" s="1742"/>
      <c r="E3" s="1742"/>
      <c r="F3" s="957"/>
      <c r="G3" s="957"/>
      <c r="H3" s="1742" t="s">
        <v>813</v>
      </c>
      <c r="I3" s="1742"/>
      <c r="J3" s="1742"/>
      <c r="K3" s="957"/>
      <c r="L3" s="957"/>
      <c r="M3" s="1742" t="s">
        <v>814</v>
      </c>
      <c r="N3" s="1742"/>
      <c r="O3" s="1742"/>
      <c r="P3" s="957"/>
      <c r="Q3" s="957"/>
      <c r="R3" s="1742" t="s">
        <v>815</v>
      </c>
      <c r="S3" s="1742"/>
      <c r="T3" s="1742"/>
      <c r="U3" s="957"/>
      <c r="V3" s="957"/>
      <c r="W3" s="1742" t="s">
        <v>816</v>
      </c>
      <c r="X3" s="1742"/>
      <c r="Y3" s="1742"/>
      <c r="Z3" s="957"/>
      <c r="AA3" s="957"/>
      <c r="AB3" s="1742" t="s">
        <v>817</v>
      </c>
      <c r="AC3" s="1742"/>
      <c r="AD3" s="1742"/>
      <c r="AE3" s="1051"/>
      <c r="AF3" s="1051"/>
      <c r="AG3" s="1734" t="s">
        <v>818</v>
      </c>
      <c r="AH3" s="1734"/>
      <c r="AI3" s="1734"/>
      <c r="AJ3" s="964"/>
      <c r="AK3" s="964"/>
      <c r="AL3" s="1742" t="s">
        <v>819</v>
      </c>
      <c r="AM3" s="1742"/>
      <c r="AN3" s="1742"/>
      <c r="AO3" s="1051"/>
      <c r="AP3" s="1051"/>
      <c r="AQ3" s="1742" t="s">
        <v>820</v>
      </c>
      <c r="AR3" s="1742" t="s">
        <v>820</v>
      </c>
      <c r="AS3" s="1742"/>
      <c r="AT3" s="1051"/>
      <c r="AU3" s="1051"/>
      <c r="AV3" s="1742" t="s">
        <v>821</v>
      </c>
      <c r="AW3" s="1742"/>
      <c r="AX3" s="1742"/>
      <c r="AY3" s="962"/>
      <c r="AZ3" s="957"/>
      <c r="BA3" s="957">
        <v>199</v>
      </c>
      <c r="BB3" s="957"/>
      <c r="BC3" s="1052"/>
      <c r="BD3" s="1053"/>
      <c r="BE3" s="1017"/>
      <c r="BF3" s="1054"/>
      <c r="BG3" s="1055"/>
      <c r="BH3" s="321"/>
    </row>
    <row r="4" spans="1:60" s="630" customFormat="1" ht="16.5" hidden="1" customHeight="1">
      <c r="A4" s="967" t="s">
        <v>662</v>
      </c>
      <c r="B4" s="967"/>
      <c r="C4" s="1743"/>
      <c r="D4" s="1743"/>
      <c r="E4" s="1743"/>
      <c r="F4" s="1056"/>
      <c r="G4" s="1056"/>
      <c r="H4" s="1744"/>
      <c r="I4" s="1744"/>
      <c r="J4" s="1744"/>
      <c r="K4" s="1057"/>
      <c r="L4" s="1057"/>
      <c r="M4" s="1744"/>
      <c r="N4" s="1744"/>
      <c r="O4" s="1744"/>
      <c r="P4" s="1057"/>
      <c r="Q4" s="1057"/>
      <c r="R4" s="1744"/>
      <c r="S4" s="1744"/>
      <c r="T4" s="1744"/>
      <c r="U4" s="1057"/>
      <c r="V4" s="1057"/>
      <c r="W4" s="1744"/>
      <c r="X4" s="1744"/>
      <c r="Y4" s="1744"/>
      <c r="Z4" s="1057"/>
      <c r="AA4" s="1057"/>
      <c r="AB4" s="1744"/>
      <c r="AC4" s="1744"/>
      <c r="AD4" s="1744"/>
      <c r="AE4" s="1056"/>
      <c r="AF4" s="1056"/>
      <c r="AG4" s="1744"/>
      <c r="AH4" s="1744"/>
      <c r="AI4" s="1744"/>
      <c r="AJ4" s="1056"/>
      <c r="AK4" s="1056"/>
      <c r="AL4" s="1744"/>
      <c r="AM4" s="1744"/>
      <c r="AN4" s="1744"/>
      <c r="AO4" s="1056"/>
      <c r="AP4" s="1056"/>
      <c r="AQ4" s="1744"/>
      <c r="AR4" s="1744"/>
      <c r="AS4" s="1744"/>
      <c r="AT4" s="1056"/>
      <c r="AU4" s="1056"/>
      <c r="AV4" s="1744"/>
      <c r="AW4" s="1744"/>
      <c r="AX4" s="1744"/>
      <c r="AY4" s="1056"/>
      <c r="AZ4" s="1056"/>
      <c r="BA4" s="1056"/>
      <c r="BB4" s="1056"/>
      <c r="BC4" s="1058"/>
      <c r="BD4" s="1745"/>
      <c r="BE4" s="1745"/>
      <c r="BF4" s="1745"/>
      <c r="BG4" s="1059"/>
      <c r="BH4" s="633"/>
    </row>
    <row r="5" spans="1:60" s="630" customFormat="1" ht="30" customHeight="1">
      <c r="A5" s="962" t="s">
        <v>665</v>
      </c>
      <c r="B5" s="853" t="s">
        <v>2</v>
      </c>
      <c r="C5" s="853" t="s">
        <v>139</v>
      </c>
      <c r="D5" s="833" t="s">
        <v>4</v>
      </c>
      <c r="E5" s="853" t="s">
        <v>5</v>
      </c>
      <c r="F5" s="833" t="s">
        <v>140</v>
      </c>
      <c r="G5" s="853" t="s">
        <v>2</v>
      </c>
      <c r="H5" s="853" t="s">
        <v>139</v>
      </c>
      <c r="I5" s="833" t="s">
        <v>4</v>
      </c>
      <c r="J5" s="853" t="s">
        <v>5</v>
      </c>
      <c r="K5" s="833" t="s">
        <v>140</v>
      </c>
      <c r="L5" s="853" t="s">
        <v>2</v>
      </c>
      <c r="M5" s="853" t="s">
        <v>139</v>
      </c>
      <c r="N5" s="833" t="s">
        <v>4</v>
      </c>
      <c r="O5" s="853" t="s">
        <v>5</v>
      </c>
      <c r="P5" s="833" t="s">
        <v>140</v>
      </c>
      <c r="Q5" s="853" t="s">
        <v>2</v>
      </c>
      <c r="R5" s="853" t="s">
        <v>139</v>
      </c>
      <c r="S5" s="833" t="s">
        <v>4</v>
      </c>
      <c r="T5" s="853" t="s">
        <v>5</v>
      </c>
      <c r="U5" s="833" t="s">
        <v>140</v>
      </c>
      <c r="V5" s="853" t="s">
        <v>2</v>
      </c>
      <c r="W5" s="853" t="s">
        <v>139</v>
      </c>
      <c r="X5" s="833" t="s">
        <v>4</v>
      </c>
      <c r="Y5" s="853" t="s">
        <v>5</v>
      </c>
      <c r="Z5" s="833" t="s">
        <v>140</v>
      </c>
      <c r="AA5" s="853" t="s">
        <v>2</v>
      </c>
      <c r="AB5" s="853" t="s">
        <v>139</v>
      </c>
      <c r="AC5" s="833" t="s">
        <v>4</v>
      </c>
      <c r="AD5" s="853" t="s">
        <v>5</v>
      </c>
      <c r="AE5" s="833" t="s">
        <v>140</v>
      </c>
      <c r="AF5" s="853" t="s">
        <v>2</v>
      </c>
      <c r="AG5" s="853" t="s">
        <v>139</v>
      </c>
      <c r="AH5" s="833" t="s">
        <v>4</v>
      </c>
      <c r="AI5" s="853" t="s">
        <v>5</v>
      </c>
      <c r="AJ5" s="833" t="s">
        <v>140</v>
      </c>
      <c r="AK5" s="853" t="s">
        <v>2</v>
      </c>
      <c r="AL5" s="853" t="s">
        <v>139</v>
      </c>
      <c r="AM5" s="833" t="s">
        <v>4</v>
      </c>
      <c r="AN5" s="853" t="s">
        <v>5</v>
      </c>
      <c r="AO5" s="833" t="s">
        <v>140</v>
      </c>
      <c r="AP5" s="853" t="s">
        <v>2</v>
      </c>
      <c r="AQ5" s="853" t="s">
        <v>139</v>
      </c>
      <c r="AR5" s="833" t="s">
        <v>4</v>
      </c>
      <c r="AS5" s="853" t="s">
        <v>5</v>
      </c>
      <c r="AT5" s="833" t="s">
        <v>140</v>
      </c>
      <c r="AU5" s="853" t="s">
        <v>2</v>
      </c>
      <c r="AV5" s="853" t="s">
        <v>139</v>
      </c>
      <c r="AW5" s="833" t="s">
        <v>4</v>
      </c>
      <c r="AX5" s="853" t="s">
        <v>5</v>
      </c>
      <c r="AY5" s="833" t="s">
        <v>140</v>
      </c>
      <c r="AZ5" s="853" t="s">
        <v>2</v>
      </c>
      <c r="BA5" s="853" t="s">
        <v>5</v>
      </c>
      <c r="BB5" s="833" t="s">
        <v>140</v>
      </c>
      <c r="BC5" s="854" t="s">
        <v>2</v>
      </c>
      <c r="BD5" s="854" t="s">
        <v>139</v>
      </c>
      <c r="BE5" s="837" t="s">
        <v>4</v>
      </c>
      <c r="BF5" s="854" t="s">
        <v>5</v>
      </c>
      <c r="BG5" s="837" t="s">
        <v>140</v>
      </c>
      <c r="BH5" s="633"/>
    </row>
    <row r="6" spans="1:60" s="1065" customFormat="1" ht="10.5" customHeight="1">
      <c r="A6" s="1060"/>
      <c r="B6" s="1060" t="s">
        <v>74</v>
      </c>
      <c r="C6" s="1060" t="s">
        <v>75</v>
      </c>
      <c r="D6" s="1060" t="s">
        <v>76</v>
      </c>
      <c r="E6" s="1061">
        <v>2</v>
      </c>
      <c r="F6" s="1060">
        <v>3</v>
      </c>
      <c r="G6" s="1060">
        <v>4</v>
      </c>
      <c r="H6" s="1060" t="s">
        <v>77</v>
      </c>
      <c r="I6" s="1060" t="s">
        <v>78</v>
      </c>
      <c r="J6" s="1060">
        <v>5</v>
      </c>
      <c r="K6" s="1060">
        <v>6</v>
      </c>
      <c r="L6" s="1060">
        <v>7</v>
      </c>
      <c r="M6" s="1060" t="s">
        <v>79</v>
      </c>
      <c r="N6" s="1060" t="s">
        <v>80</v>
      </c>
      <c r="O6" s="1061">
        <v>8</v>
      </c>
      <c r="P6" s="1060">
        <v>9</v>
      </c>
      <c r="Q6" s="1060">
        <v>10</v>
      </c>
      <c r="R6" s="1060" t="s">
        <v>794</v>
      </c>
      <c r="S6" s="1060" t="s">
        <v>795</v>
      </c>
      <c r="T6" s="1060">
        <v>11</v>
      </c>
      <c r="U6" s="1060">
        <v>12</v>
      </c>
      <c r="V6" s="1060">
        <v>13</v>
      </c>
      <c r="W6" s="1060" t="s">
        <v>666</v>
      </c>
      <c r="X6" s="1060" t="s">
        <v>667</v>
      </c>
      <c r="Y6" s="1060">
        <v>14</v>
      </c>
      <c r="Z6" s="1060">
        <v>15</v>
      </c>
      <c r="AA6" s="1060">
        <v>16</v>
      </c>
      <c r="AB6" s="1060" t="s">
        <v>668</v>
      </c>
      <c r="AC6" s="1060" t="s">
        <v>669</v>
      </c>
      <c r="AD6" s="1061">
        <v>17</v>
      </c>
      <c r="AE6" s="1060">
        <v>18</v>
      </c>
      <c r="AF6" s="1060">
        <v>19</v>
      </c>
      <c r="AG6" s="1060" t="s">
        <v>670</v>
      </c>
      <c r="AH6" s="1060" t="s">
        <v>671</v>
      </c>
      <c r="AI6" s="1061">
        <v>20</v>
      </c>
      <c r="AJ6" s="1060">
        <v>21</v>
      </c>
      <c r="AK6" s="1060">
        <v>22</v>
      </c>
      <c r="AL6" s="1060" t="s">
        <v>672</v>
      </c>
      <c r="AM6" s="1060" t="s">
        <v>673</v>
      </c>
      <c r="AN6" s="1061">
        <v>23</v>
      </c>
      <c r="AO6" s="1060">
        <v>24</v>
      </c>
      <c r="AP6" s="1060" t="s">
        <v>822</v>
      </c>
      <c r="AQ6" s="1060" t="s">
        <v>674</v>
      </c>
      <c r="AR6" s="1060" t="s">
        <v>675</v>
      </c>
      <c r="AS6" s="1060" t="s">
        <v>823</v>
      </c>
      <c r="AT6" s="1060" t="s">
        <v>824</v>
      </c>
      <c r="AU6" s="1060" t="s">
        <v>825</v>
      </c>
      <c r="AV6" s="1060" t="s">
        <v>676</v>
      </c>
      <c r="AW6" s="1060" t="s">
        <v>677</v>
      </c>
      <c r="AX6" s="1060" t="s">
        <v>826</v>
      </c>
      <c r="AY6" s="1060" t="s">
        <v>827</v>
      </c>
      <c r="AZ6" s="1061"/>
      <c r="BA6" s="1061"/>
      <c r="BB6" s="1061"/>
      <c r="BC6" s="1062">
        <v>25</v>
      </c>
      <c r="BD6" s="1062" t="s">
        <v>678</v>
      </c>
      <c r="BE6" s="1062" t="s">
        <v>679</v>
      </c>
      <c r="BF6" s="1063">
        <v>26</v>
      </c>
      <c r="BG6" s="1062">
        <v>27</v>
      </c>
      <c r="BH6" s="1064"/>
    </row>
    <row r="7" spans="1:60" s="986" customFormat="1" ht="9" hidden="1" customHeight="1">
      <c r="A7" s="980"/>
      <c r="B7" s="980"/>
      <c r="C7" s="1066"/>
      <c r="D7" s="1066"/>
      <c r="H7" s="1066"/>
      <c r="I7" s="1066"/>
      <c r="M7" s="1066"/>
      <c r="N7" s="1066"/>
      <c r="R7" s="1066"/>
      <c r="S7" s="1066"/>
      <c r="W7" s="1066"/>
      <c r="X7" s="1066"/>
      <c r="AB7" s="1066"/>
      <c r="AC7" s="1066"/>
      <c r="AG7" s="1066"/>
      <c r="AH7" s="1066"/>
      <c r="AL7" s="1066"/>
      <c r="AM7" s="1066"/>
      <c r="AQ7" s="1066"/>
      <c r="AR7" s="1066"/>
      <c r="AV7" s="1066"/>
      <c r="AW7" s="1066"/>
      <c r="BC7" s="985"/>
      <c r="BD7" s="1067"/>
      <c r="BE7" s="1067"/>
      <c r="BF7" s="985"/>
      <c r="BG7" s="985"/>
      <c r="BH7" s="633"/>
    </row>
    <row r="8" spans="1:60" s="1073" customFormat="1" ht="15" customHeight="1">
      <c r="A8" s="1068" t="s">
        <v>796</v>
      </c>
      <c r="B8" s="1069">
        <v>5</v>
      </c>
      <c r="C8" s="1070">
        <v>5</v>
      </c>
      <c r="D8" s="1071"/>
      <c r="E8" s="1072">
        <f>SUM(C8+D8)</f>
        <v>5</v>
      </c>
      <c r="F8" s="1073">
        <v>5</v>
      </c>
      <c r="G8" s="1073">
        <v>6</v>
      </c>
      <c r="H8" s="1073">
        <v>6</v>
      </c>
      <c r="I8" s="1074"/>
      <c r="J8" s="1073">
        <f>SUM(H8+I8)</f>
        <v>6</v>
      </c>
      <c r="K8" s="1072">
        <v>6</v>
      </c>
      <c r="L8" s="1073">
        <v>50</v>
      </c>
      <c r="M8" s="1072">
        <v>50</v>
      </c>
      <c r="N8" s="1074"/>
      <c r="O8" s="1072">
        <f>SUM(M8+N8)</f>
        <v>50</v>
      </c>
      <c r="P8" s="1072">
        <f>3+43</f>
        <v>46</v>
      </c>
      <c r="Q8" s="1073">
        <v>13</v>
      </c>
      <c r="R8" s="1072">
        <v>13</v>
      </c>
      <c r="S8" s="1074"/>
      <c r="T8" s="996">
        <f>SUM(R8+S8)</f>
        <v>13</v>
      </c>
      <c r="U8" s="1075">
        <v>12</v>
      </c>
      <c r="V8" s="1073">
        <v>13</v>
      </c>
      <c r="W8" s="1070">
        <v>13</v>
      </c>
      <c r="X8" s="1071"/>
      <c r="Y8" s="1073">
        <f>SUM(W8+X8)</f>
        <v>13</v>
      </c>
      <c r="Z8" s="1073">
        <f>11+2</f>
        <v>13</v>
      </c>
      <c r="AA8" s="1073">
        <v>54</v>
      </c>
      <c r="AB8" s="1076">
        <v>54</v>
      </c>
      <c r="AC8" s="1071"/>
      <c r="AD8" s="1072">
        <f>SUM(AB8+AC8)</f>
        <v>54</v>
      </c>
      <c r="AE8" s="1072">
        <f>3+10+14+25</f>
        <v>52</v>
      </c>
      <c r="AF8" s="1073">
        <v>35</v>
      </c>
      <c r="AG8" s="1070">
        <v>35</v>
      </c>
      <c r="AH8" s="1071"/>
      <c r="AI8" s="1072">
        <f>SUM(AG8+AH8)</f>
        <v>35</v>
      </c>
      <c r="AJ8" s="1072">
        <f>5+20+5+5</f>
        <v>35</v>
      </c>
      <c r="AK8" s="1073">
        <v>41</v>
      </c>
      <c r="AL8" s="1070">
        <v>41</v>
      </c>
      <c r="AM8" s="1071"/>
      <c r="AN8" s="1072">
        <f>SUM(AL8+AM8)</f>
        <v>41</v>
      </c>
      <c r="AO8" s="1072">
        <f>22+14+3</f>
        <v>39</v>
      </c>
      <c r="AQ8" s="1070"/>
      <c r="AR8" s="1071"/>
      <c r="AS8" s="1073">
        <f>SUM(AQ8+AR8)</f>
        <v>0</v>
      </c>
      <c r="AT8" s="1072">
        <f>AN8-AM8</f>
        <v>41</v>
      </c>
      <c r="AV8" s="1070"/>
      <c r="AW8" s="1071"/>
      <c r="AX8" s="1073">
        <f>SUM(AV8+AW8)</f>
        <v>0</v>
      </c>
      <c r="AY8" s="1072">
        <f>AS8-AR8</f>
        <v>0</v>
      </c>
      <c r="AZ8" s="1072"/>
      <c r="BA8" s="1072">
        <v>0</v>
      </c>
      <c r="BB8" s="1072"/>
      <c r="BC8" s="999">
        <f>B8+G8+L8+Q8+V8+AA8+AF8+AK8+AP8+AU8</f>
        <v>217</v>
      </c>
      <c r="BD8" s="999">
        <f>C8+H8+M8+R8+W8+AB8+AG8+AL8</f>
        <v>217</v>
      </c>
      <c r="BE8" s="999">
        <f>D8+I8+N8+S8+X8+AC8+AH8+AM8</f>
        <v>0</v>
      </c>
      <c r="BF8" s="1003">
        <f>E8+J8+O8+T8+Y8+AD8+AI8+AN8</f>
        <v>217</v>
      </c>
      <c r="BG8" s="999">
        <f>F8+K8+P8+U8+Z8+AE8+AJ8+AO8</f>
        <v>208</v>
      </c>
    </row>
    <row r="9" spans="1:60" s="996" customFormat="1" ht="12" customHeight="1">
      <c r="A9" s="987" t="s">
        <v>828</v>
      </c>
      <c r="B9" s="991">
        <v>5</v>
      </c>
      <c r="C9" s="1070">
        <v>5</v>
      </c>
      <c r="D9" s="1077"/>
      <c r="E9" s="986">
        <f>SUM(C9+D9)</f>
        <v>5</v>
      </c>
      <c r="F9" s="996">
        <v>5</v>
      </c>
      <c r="G9" s="996">
        <v>6</v>
      </c>
      <c r="H9" s="1073">
        <v>6</v>
      </c>
      <c r="I9" s="1078"/>
      <c r="J9" s="996">
        <f>SUM(H9+I9)</f>
        <v>6</v>
      </c>
      <c r="K9" s="996">
        <v>6</v>
      </c>
      <c r="L9" s="996">
        <v>50</v>
      </c>
      <c r="M9" s="1072">
        <v>50</v>
      </c>
      <c r="N9" s="1078"/>
      <c r="O9" s="986">
        <f>SUM(M9+N9)</f>
        <v>50</v>
      </c>
      <c r="P9" s="996">
        <f>4+42</f>
        <v>46</v>
      </c>
      <c r="Q9" s="996">
        <v>13</v>
      </c>
      <c r="R9" s="1072">
        <v>13</v>
      </c>
      <c r="S9" s="1078"/>
      <c r="T9" s="996">
        <f>SUM(R9+S9)</f>
        <v>13</v>
      </c>
      <c r="U9" s="996">
        <v>12</v>
      </c>
      <c r="V9" s="996">
        <v>13</v>
      </c>
      <c r="W9" s="1070">
        <v>13</v>
      </c>
      <c r="X9" s="1077"/>
      <c r="Y9" s="996">
        <f>SUM(W9+X9)</f>
        <v>13</v>
      </c>
      <c r="Z9" s="996">
        <v>13</v>
      </c>
      <c r="AA9" s="996">
        <v>54</v>
      </c>
      <c r="AB9" s="1076">
        <v>69</v>
      </c>
      <c r="AC9" s="1077"/>
      <c r="AD9" s="986">
        <f>SUM(AB9+AC9)</f>
        <v>69</v>
      </c>
      <c r="AE9" s="996">
        <f>3+9+15+33</f>
        <v>60</v>
      </c>
      <c r="AF9" s="996">
        <v>35</v>
      </c>
      <c r="AG9" s="1070">
        <v>35</v>
      </c>
      <c r="AH9" s="1077"/>
      <c r="AI9" s="986">
        <f>SUM(AG9+AH9)</f>
        <v>35</v>
      </c>
      <c r="AJ9" s="996">
        <f>5+20+5+5</f>
        <v>35</v>
      </c>
      <c r="AK9" s="996">
        <v>41</v>
      </c>
      <c r="AL9" s="1070">
        <v>41</v>
      </c>
      <c r="AM9" s="1077"/>
      <c r="AN9" s="986">
        <f>SUM(AL9+AM9)</f>
        <v>41</v>
      </c>
      <c r="AO9" s="996">
        <f>21+14+3</f>
        <v>38</v>
      </c>
      <c r="AQ9" s="1069"/>
      <c r="AR9" s="1077"/>
      <c r="AS9" s="996">
        <f>SUM(AQ9+AR9)</f>
        <v>0</v>
      </c>
      <c r="AV9" s="1069"/>
      <c r="AW9" s="1077"/>
      <c r="AX9" s="996">
        <f>SUM(AV9+AW9)</f>
        <v>0</v>
      </c>
      <c r="AZ9" s="986"/>
      <c r="BA9" s="1072">
        <v>0</v>
      </c>
      <c r="BB9" s="1072"/>
      <c r="BC9" s="999">
        <f>B9+G9+L9+Q9+V9+AA9+AF9+AK9+AP9+AU9</f>
        <v>217</v>
      </c>
      <c r="BD9" s="999">
        <f t="shared" ref="BD9:BE11" si="0">C9+H9+M9+R9+W9+AB9+AG9+AL9+AQ9+AV9</f>
        <v>232</v>
      </c>
      <c r="BE9" s="1079">
        <f t="shared" si="0"/>
        <v>0</v>
      </c>
      <c r="BF9" s="1003">
        <f>E9+J9+O9+T9+Y9+AD9+AI9+AN9</f>
        <v>232</v>
      </c>
      <c r="BG9" s="999">
        <f>F9+K9+P9+U9+Z9+AE9+AJ9+AO9</f>
        <v>215</v>
      </c>
      <c r="BH9" s="415"/>
    </row>
    <row r="10" spans="1:60" s="996" customFormat="1" ht="12" hidden="1" customHeight="1">
      <c r="A10" s="881" t="s">
        <v>696</v>
      </c>
      <c r="B10" s="987"/>
      <c r="C10" s="1070">
        <v>5</v>
      </c>
      <c r="D10" s="1071"/>
      <c r="E10" s="1072">
        <f>SUM(C10+D10)</f>
        <v>5</v>
      </c>
      <c r="F10" s="1073"/>
      <c r="G10" s="1073"/>
      <c r="H10" s="1073">
        <v>6</v>
      </c>
      <c r="I10" s="1074"/>
      <c r="J10" s="1073">
        <f>SUM(H10+I10)</f>
        <v>6</v>
      </c>
      <c r="K10" s="1072"/>
      <c r="L10" s="1073"/>
      <c r="M10" s="1072">
        <v>50</v>
      </c>
      <c r="N10" s="1074"/>
      <c r="O10" s="1072">
        <f>SUM(M10+N10)</f>
        <v>50</v>
      </c>
      <c r="P10" s="1072"/>
      <c r="Q10" s="1073"/>
      <c r="R10" s="1072"/>
      <c r="S10" s="1074"/>
      <c r="T10" s="1073">
        <f>SUM(R10+S10)</f>
        <v>0</v>
      </c>
      <c r="U10" s="1072"/>
      <c r="V10" s="1073"/>
      <c r="W10" s="1070"/>
      <c r="X10" s="1071"/>
      <c r="Y10" s="1073">
        <f>SUM(W10+X10)</f>
        <v>0</v>
      </c>
      <c r="Z10" s="1073"/>
      <c r="AA10" s="1073"/>
      <c r="AB10" s="1076">
        <v>69</v>
      </c>
      <c r="AC10" s="1071"/>
      <c r="AD10" s="1072">
        <f>SUM(AB10+AC10)</f>
        <v>69</v>
      </c>
      <c r="AE10" s="1072"/>
      <c r="AF10" s="1073"/>
      <c r="AG10" s="1070">
        <v>35</v>
      </c>
      <c r="AH10" s="1071"/>
      <c r="AI10" s="1072">
        <f>SUM(AG10+AH10)</f>
        <v>35</v>
      </c>
      <c r="AJ10" s="1072"/>
      <c r="AK10" s="1073"/>
      <c r="AL10" s="1070">
        <v>41</v>
      </c>
      <c r="AM10" s="1071"/>
      <c r="AN10" s="1072">
        <f>SUM(AL10+AM10)</f>
        <v>41</v>
      </c>
      <c r="AO10" s="1072"/>
      <c r="AP10" s="1073"/>
      <c r="AQ10" s="1070"/>
      <c r="AR10" s="1071"/>
      <c r="AS10" s="1073">
        <f>SUM(AQ10+AR10)</f>
        <v>0</v>
      </c>
      <c r="AT10" s="1072">
        <f>AN10-AM10</f>
        <v>41</v>
      </c>
      <c r="AU10" s="1073"/>
      <c r="AV10" s="1070"/>
      <c r="AW10" s="1071"/>
      <c r="AX10" s="1073">
        <f>SUM(AV10+AW10)</f>
        <v>0</v>
      </c>
      <c r="AZ10" s="986"/>
      <c r="BA10" s="1072">
        <v>0</v>
      </c>
      <c r="BB10" s="1072"/>
      <c r="BC10" s="997"/>
      <c r="BD10" s="1080">
        <f t="shared" si="0"/>
        <v>206</v>
      </c>
      <c r="BE10" s="1081">
        <f t="shared" si="0"/>
        <v>0</v>
      </c>
      <c r="BF10" s="985">
        <f>SUM(BD10+BE10)</f>
        <v>206</v>
      </c>
      <c r="BG10" s="999">
        <f t="shared" ref="BG10:BG14" si="1">F10+K10+P10+U10+Z10+AE10+AJ10+AO10</f>
        <v>0</v>
      </c>
      <c r="BH10" s="415"/>
    </row>
    <row r="11" spans="1:60" s="996" customFormat="1" ht="12" hidden="1" customHeight="1">
      <c r="A11" s="881" t="s">
        <v>697</v>
      </c>
      <c r="B11" s="987"/>
      <c r="C11" s="1070">
        <v>5</v>
      </c>
      <c r="D11" s="1077"/>
      <c r="E11" s="986">
        <f>SUM(C11+D11)</f>
        <v>5</v>
      </c>
      <c r="H11" s="1073">
        <v>6</v>
      </c>
      <c r="I11" s="1078"/>
      <c r="J11" s="996">
        <f>SUM(H11+I11)</f>
        <v>6</v>
      </c>
      <c r="M11" s="1072">
        <v>50</v>
      </c>
      <c r="N11" s="1078"/>
      <c r="O11" s="986">
        <f>SUM(M11+N11)</f>
        <v>50</v>
      </c>
      <c r="S11" s="1078"/>
      <c r="T11" s="996">
        <f>SUM(R11+S11)</f>
        <v>0</v>
      </c>
      <c r="W11" s="1069"/>
      <c r="X11" s="1077"/>
      <c r="Y11" s="996">
        <f>SUM(W11+X11)</f>
        <v>0</v>
      </c>
      <c r="AB11" s="1076">
        <v>69</v>
      </c>
      <c r="AC11" s="1077"/>
      <c r="AD11" s="986">
        <f>SUM(AB11+AC11)</f>
        <v>69</v>
      </c>
      <c r="AG11" s="1070">
        <v>35</v>
      </c>
      <c r="AH11" s="1077"/>
      <c r="AI11" s="986">
        <f>SUM(AG11+AH11)</f>
        <v>35</v>
      </c>
      <c r="AL11" s="1070">
        <v>41</v>
      </c>
      <c r="AM11" s="1077"/>
      <c r="AN11" s="986">
        <f>SUM(AL11+AM11)</f>
        <v>41</v>
      </c>
      <c r="AQ11" s="1069"/>
      <c r="AR11" s="1077"/>
      <c r="AS11" s="996">
        <f>SUM(AQ11+AR11)</f>
        <v>0</v>
      </c>
      <c r="AV11" s="1069"/>
      <c r="AW11" s="1077"/>
      <c r="AX11" s="996">
        <f>SUM(AV11+AW11)</f>
        <v>0</v>
      </c>
      <c r="AZ11" s="986"/>
      <c r="BA11" s="1072">
        <v>0</v>
      </c>
      <c r="BB11" s="1072"/>
      <c r="BC11" s="997"/>
      <c r="BD11" s="1080">
        <f t="shared" si="0"/>
        <v>206</v>
      </c>
      <c r="BE11" s="1081">
        <f t="shared" si="0"/>
        <v>0</v>
      </c>
      <c r="BF11" s="985">
        <f>SUM(BD11+BE11)</f>
        <v>206</v>
      </c>
      <c r="BG11" s="999">
        <f t="shared" si="1"/>
        <v>0</v>
      </c>
      <c r="BH11" s="415"/>
    </row>
    <row r="12" spans="1:60" s="996" customFormat="1" ht="12" customHeight="1">
      <c r="A12" s="881" t="s">
        <v>829</v>
      </c>
      <c r="B12" s="987"/>
      <c r="C12" s="1070"/>
      <c r="D12" s="1077"/>
      <c r="E12" s="986">
        <v>5</v>
      </c>
      <c r="F12" s="890">
        <v>7</v>
      </c>
      <c r="H12" s="1073"/>
      <c r="I12" s="1078"/>
      <c r="K12" s="996">
        <v>7</v>
      </c>
      <c r="M12" s="1072"/>
      <c r="N12" s="1078"/>
      <c r="O12" s="986">
        <v>50</v>
      </c>
      <c r="P12" s="996">
        <v>45</v>
      </c>
      <c r="S12" s="1078"/>
      <c r="U12" s="996">
        <v>13</v>
      </c>
      <c r="W12" s="1069"/>
      <c r="X12" s="1077"/>
      <c r="Z12" s="996">
        <v>12</v>
      </c>
      <c r="AB12" s="1076"/>
      <c r="AC12" s="1077"/>
      <c r="AD12" s="986">
        <v>69</v>
      </c>
      <c r="AE12" s="996">
        <f>5+8+15+37</f>
        <v>65</v>
      </c>
      <c r="AG12" s="1070"/>
      <c r="AH12" s="1077"/>
      <c r="AI12" s="986">
        <v>35</v>
      </c>
      <c r="AJ12" s="996">
        <f>4+19+5</f>
        <v>28</v>
      </c>
      <c r="AL12" s="1070"/>
      <c r="AM12" s="1077"/>
      <c r="AN12" s="986">
        <v>41</v>
      </c>
      <c r="AO12" s="996">
        <f>21+14</f>
        <v>35</v>
      </c>
      <c r="AQ12" s="1069"/>
      <c r="AR12" s="1077"/>
      <c r="AV12" s="1069"/>
      <c r="AW12" s="1077"/>
      <c r="AZ12" s="986"/>
      <c r="BA12" s="1072">
        <v>0</v>
      </c>
      <c r="BB12" s="1072"/>
      <c r="BC12" s="997"/>
      <c r="BD12" s="1080"/>
      <c r="BE12" s="1081"/>
      <c r="BF12" s="985">
        <v>206</v>
      </c>
      <c r="BG12" s="999">
        <f t="shared" si="1"/>
        <v>212</v>
      </c>
      <c r="BH12" s="415"/>
    </row>
    <row r="13" spans="1:60" s="996" customFormat="1" ht="12" customHeight="1">
      <c r="A13" s="881" t="s">
        <v>830</v>
      </c>
      <c r="B13" s="987"/>
      <c r="C13" s="1070"/>
      <c r="D13" s="1077"/>
      <c r="E13" s="986">
        <v>5</v>
      </c>
      <c r="F13" s="890">
        <v>6</v>
      </c>
      <c r="H13" s="1073"/>
      <c r="I13" s="1078"/>
      <c r="K13" s="996">
        <v>6</v>
      </c>
      <c r="M13" s="1072"/>
      <c r="N13" s="1078"/>
      <c r="O13" s="986">
        <v>50</v>
      </c>
      <c r="P13" s="996">
        <v>43</v>
      </c>
      <c r="S13" s="1078"/>
      <c r="U13" s="996">
        <v>11</v>
      </c>
      <c r="W13" s="1069"/>
      <c r="X13" s="1077"/>
      <c r="Z13" s="996">
        <v>13</v>
      </c>
      <c r="AB13" s="1076"/>
      <c r="AC13" s="1077"/>
      <c r="AD13" s="986">
        <v>69</v>
      </c>
      <c r="AE13" s="996">
        <f>4+7+15+34</f>
        <v>60</v>
      </c>
      <c r="AG13" s="1070"/>
      <c r="AH13" s="1077"/>
      <c r="AI13" s="986">
        <v>35</v>
      </c>
      <c r="AJ13" s="996">
        <f>4+19+5</f>
        <v>28</v>
      </c>
      <c r="AL13" s="1070"/>
      <c r="AM13" s="1077"/>
      <c r="AN13" s="986">
        <v>41</v>
      </c>
      <c r="AO13" s="996">
        <f>19+14</f>
        <v>33</v>
      </c>
      <c r="AQ13" s="1069"/>
      <c r="AR13" s="1077"/>
      <c r="AV13" s="1069"/>
      <c r="AW13" s="1077"/>
      <c r="AZ13" s="986"/>
      <c r="BA13" s="1072">
        <v>0</v>
      </c>
      <c r="BB13" s="1072"/>
      <c r="BC13" s="997"/>
      <c r="BD13" s="1080"/>
      <c r="BE13" s="1081"/>
      <c r="BF13" s="985">
        <v>206</v>
      </c>
      <c r="BG13" s="999">
        <f t="shared" si="1"/>
        <v>200</v>
      </c>
      <c r="BH13" s="415"/>
    </row>
    <row r="14" spans="1:60" s="996" customFormat="1" ht="12" customHeight="1">
      <c r="A14" s="881" t="s">
        <v>831</v>
      </c>
      <c r="B14" s="987"/>
      <c r="C14" s="1070"/>
      <c r="D14" s="1077"/>
      <c r="E14" s="986">
        <v>5</v>
      </c>
      <c r="F14" s="890">
        <v>6</v>
      </c>
      <c r="H14" s="1073"/>
      <c r="I14" s="1078"/>
      <c r="K14" s="996">
        <v>7</v>
      </c>
      <c r="M14" s="1072"/>
      <c r="N14" s="1078"/>
      <c r="O14" s="986">
        <v>50</v>
      </c>
      <c r="P14" s="996">
        <v>45</v>
      </c>
      <c r="S14" s="1078"/>
      <c r="U14" s="996">
        <v>13</v>
      </c>
      <c r="W14" s="1069"/>
      <c r="X14" s="1077"/>
      <c r="Z14" s="996">
        <v>11</v>
      </c>
      <c r="AB14" s="1076"/>
      <c r="AC14" s="1077"/>
      <c r="AD14" s="986">
        <v>69</v>
      </c>
      <c r="AE14" s="996">
        <f>4+7+15+36</f>
        <v>62</v>
      </c>
      <c r="AG14" s="1070"/>
      <c r="AH14" s="1077"/>
      <c r="AI14" s="986">
        <v>35</v>
      </c>
      <c r="AJ14" s="996">
        <f>4+19+5</f>
        <v>28</v>
      </c>
      <c r="AL14" s="1070"/>
      <c r="AM14" s="1077"/>
      <c r="AN14" s="986">
        <v>41</v>
      </c>
      <c r="AO14" s="996">
        <f>20+14</f>
        <v>34</v>
      </c>
      <c r="AQ14" s="1069"/>
      <c r="AR14" s="1077"/>
      <c r="AV14" s="1069"/>
      <c r="AW14" s="1077"/>
      <c r="AZ14" s="986"/>
      <c r="BA14" s="1072">
        <v>0</v>
      </c>
      <c r="BB14" s="1072"/>
      <c r="BC14" s="997"/>
      <c r="BD14" s="1080"/>
      <c r="BE14" s="1081"/>
      <c r="BF14" s="985">
        <v>206</v>
      </c>
      <c r="BG14" s="999">
        <f t="shared" si="1"/>
        <v>206</v>
      </c>
      <c r="BH14" s="415"/>
    </row>
    <row r="15" spans="1:60" s="996" customFormat="1" ht="12" customHeight="1">
      <c r="A15" s="881"/>
      <c r="B15" s="987"/>
      <c r="C15" s="1070"/>
      <c r="D15" s="1077"/>
      <c r="E15" s="986"/>
      <c r="H15" s="1073"/>
      <c r="I15" s="1078"/>
      <c r="M15" s="1072"/>
      <c r="N15" s="1078"/>
      <c r="O15" s="986"/>
      <c r="S15" s="1078"/>
      <c r="W15" s="1069"/>
      <c r="X15" s="1077"/>
      <c r="AB15" s="1076"/>
      <c r="AC15" s="1077"/>
      <c r="AD15" s="986"/>
      <c r="AG15" s="1070"/>
      <c r="AH15" s="1077"/>
      <c r="AI15" s="986"/>
      <c r="AL15" s="1070"/>
      <c r="AM15" s="1077"/>
      <c r="AN15" s="986"/>
      <c r="AQ15" s="1069"/>
      <c r="AR15" s="1077"/>
      <c r="AV15" s="1069"/>
      <c r="AW15" s="1077"/>
      <c r="AZ15" s="986"/>
      <c r="BA15" s="986"/>
      <c r="BB15" s="986"/>
      <c r="BC15" s="997"/>
      <c r="BD15" s="1080"/>
      <c r="BE15" s="1081"/>
      <c r="BF15" s="985"/>
      <c r="BG15" s="985"/>
      <c r="BH15" s="415"/>
    </row>
    <row r="16" spans="1:60" s="996" customFormat="1" ht="12" customHeight="1">
      <c r="A16" s="881"/>
      <c r="B16" s="987"/>
      <c r="C16" s="1070"/>
      <c r="D16" s="1077"/>
      <c r="E16" s="986"/>
      <c r="H16" s="1073"/>
      <c r="I16" s="1078"/>
      <c r="M16" s="1072"/>
      <c r="N16" s="1078"/>
      <c r="O16" s="986"/>
      <c r="S16" s="1078"/>
      <c r="W16" s="1069"/>
      <c r="X16" s="1077"/>
      <c r="AB16" s="1076"/>
      <c r="AC16" s="1077"/>
      <c r="AD16" s="986"/>
      <c r="AG16" s="1070"/>
      <c r="AH16" s="1077"/>
      <c r="AI16" s="986"/>
      <c r="AL16" s="1070"/>
      <c r="AM16" s="1077"/>
      <c r="AN16" s="986"/>
      <c r="AQ16" s="1069"/>
      <c r="AR16" s="1077"/>
      <c r="AV16" s="1069"/>
      <c r="AW16" s="1077"/>
      <c r="AZ16" s="986"/>
      <c r="BA16" s="986"/>
      <c r="BB16" s="986"/>
      <c r="BC16" s="997"/>
      <c r="BD16" s="1080"/>
      <c r="BE16" s="1081"/>
      <c r="BF16" s="985"/>
      <c r="BG16" s="985"/>
      <c r="BH16" s="415"/>
    </row>
    <row r="17" spans="1:60" s="996" customFormat="1" ht="12" customHeight="1">
      <c r="A17" s="980"/>
      <c r="B17" s="980"/>
      <c r="C17" s="1066"/>
      <c r="D17" s="1066"/>
      <c r="E17" s="986"/>
      <c r="F17" s="986"/>
      <c r="G17" s="986"/>
      <c r="H17" s="1073"/>
      <c r="I17" s="986"/>
      <c r="J17" s="986"/>
      <c r="K17" s="986"/>
      <c r="L17" s="986"/>
      <c r="M17" s="986"/>
      <c r="N17" s="986"/>
      <c r="O17" s="986"/>
      <c r="P17" s="986"/>
      <c r="Q17" s="986"/>
      <c r="R17" s="986"/>
      <c r="S17" s="986"/>
      <c r="T17" s="986"/>
      <c r="U17" s="986"/>
      <c r="V17" s="986"/>
      <c r="W17" s="1066"/>
      <c r="X17" s="1066"/>
      <c r="Y17" s="986"/>
      <c r="Z17" s="986"/>
      <c r="AA17" s="986"/>
      <c r="AB17" s="1066"/>
      <c r="AC17" s="1066"/>
      <c r="AD17" s="986"/>
      <c r="AE17" s="986"/>
      <c r="AF17" s="986"/>
      <c r="AG17" s="1066"/>
      <c r="AH17" s="1066"/>
      <c r="AI17" s="986"/>
      <c r="AJ17" s="986"/>
      <c r="AK17" s="986"/>
      <c r="AL17" s="1066"/>
      <c r="AM17" s="1066"/>
      <c r="AN17" s="986"/>
      <c r="AO17" s="986"/>
      <c r="AP17" s="986"/>
      <c r="AQ17" s="1066"/>
      <c r="AR17" s="1066"/>
      <c r="AS17" s="986"/>
      <c r="AT17" s="986"/>
      <c r="AU17" s="986"/>
      <c r="AV17" s="1066"/>
      <c r="AW17" s="1066"/>
      <c r="AX17" s="986"/>
      <c r="AY17" s="986"/>
      <c r="AZ17" s="986"/>
      <c r="BA17" s="986"/>
      <c r="BB17" s="986"/>
      <c r="BC17" s="985"/>
      <c r="BD17" s="1082"/>
      <c r="BE17" s="1082"/>
      <c r="BF17" s="985"/>
      <c r="BG17" s="985"/>
      <c r="BH17" s="415"/>
    </row>
    <row r="18" spans="1:60" s="996" customFormat="1" ht="16.5" hidden="1" customHeight="1">
      <c r="A18" s="987" t="s">
        <v>699</v>
      </c>
      <c r="B18" s="987"/>
      <c r="C18" s="1069"/>
      <c r="D18" s="1077"/>
      <c r="E18" s="986">
        <f>SUM(C18+D18)</f>
        <v>0</v>
      </c>
      <c r="H18" s="1073"/>
      <c r="I18" s="1078"/>
      <c r="J18" s="996">
        <f>SUM(H18+I18)</f>
        <v>0</v>
      </c>
      <c r="N18" s="1078"/>
      <c r="O18" s="986">
        <f>SUM(M18+N18)</f>
        <v>0</v>
      </c>
      <c r="S18" s="1078"/>
      <c r="T18" s="996">
        <f>SUM(R18+S18)</f>
        <v>0</v>
      </c>
      <c r="W18" s="1069"/>
      <c r="X18" s="1077"/>
      <c r="Y18" s="996">
        <f>SUM(W18+X18)</f>
        <v>0</v>
      </c>
      <c r="AB18" s="1066"/>
      <c r="AC18" s="1077"/>
      <c r="AD18" s="986">
        <f>SUM(AB18+AC18)</f>
        <v>0</v>
      </c>
      <c r="AG18" s="1069"/>
      <c r="AH18" s="1077"/>
      <c r="AI18" s="986">
        <f>SUM(AG18+AH18)</f>
        <v>0</v>
      </c>
      <c r="AL18" s="1069"/>
      <c r="AM18" s="1077"/>
      <c r="AN18" s="986">
        <f>SUM(AL18+AM18)</f>
        <v>0</v>
      </c>
      <c r="AQ18" s="1069"/>
      <c r="AR18" s="1077"/>
      <c r="AS18" s="996">
        <f>SUM(AQ18+AR18)</f>
        <v>0</v>
      </c>
      <c r="AV18" s="1069"/>
      <c r="AW18" s="1077"/>
      <c r="AX18" s="996">
        <f>SUM(AV18+AW18)</f>
        <v>0</v>
      </c>
      <c r="AZ18" s="986"/>
      <c r="BA18" s="986"/>
      <c r="BB18" s="986"/>
      <c r="BC18" s="997"/>
      <c r="BD18" s="1080">
        <f>C18+H18+W18+AG18+AL18+AQ18+AV18</f>
        <v>0</v>
      </c>
      <c r="BE18" s="1081">
        <f>D18+I18+N18+S18+X18+AC18+AH18+AM18+AR18+AW18</f>
        <v>0</v>
      </c>
      <c r="BF18" s="985">
        <f>SUM(BD18+BE18)</f>
        <v>0</v>
      </c>
      <c r="BG18" s="985"/>
      <c r="BH18" s="415"/>
    </row>
    <row r="19" spans="1:60" s="996" customFormat="1" ht="16.5" hidden="1" customHeight="1">
      <c r="A19" s="987" t="s">
        <v>699</v>
      </c>
      <c r="B19" s="987"/>
      <c r="C19" s="1069"/>
      <c r="D19" s="1077"/>
      <c r="E19" s="986">
        <f>SUM(C19+D19)</f>
        <v>0</v>
      </c>
      <c r="H19" s="1073"/>
      <c r="I19" s="1078"/>
      <c r="N19" s="1078"/>
      <c r="O19" s="986">
        <f>SUM(M19+N19)</f>
        <v>0</v>
      </c>
      <c r="S19" s="1078"/>
      <c r="W19" s="1069"/>
      <c r="X19" s="1077"/>
      <c r="AB19" s="1066"/>
      <c r="AC19" s="1077"/>
      <c r="AD19" s="986">
        <f>SUM(AB19+AC19)</f>
        <v>0</v>
      </c>
      <c r="AG19" s="1069"/>
      <c r="AH19" s="1077"/>
      <c r="AI19" s="986">
        <f>SUM(AG19+AH19)</f>
        <v>0</v>
      </c>
      <c r="AL19" s="1069"/>
      <c r="AM19" s="1077"/>
      <c r="AN19" s="986">
        <f>SUM(AL19+AM19)</f>
        <v>0</v>
      </c>
      <c r="AQ19" s="1069"/>
      <c r="AR19" s="1077"/>
      <c r="AV19" s="1069"/>
      <c r="AW19" s="1077"/>
      <c r="AZ19" s="986"/>
      <c r="BA19" s="986"/>
      <c r="BB19" s="986"/>
      <c r="BC19" s="997"/>
      <c r="BD19" s="1080">
        <f>C19+H19+W19+AG19+AL19+AQ19+AV19</f>
        <v>0</v>
      </c>
      <c r="BE19" s="1081">
        <f>D19+I19+N19+S19+X19+AC19+AH19+AM19+AR19+AW19</f>
        <v>0</v>
      </c>
      <c r="BF19" s="985">
        <f>SUM(BD19+BE19)</f>
        <v>0</v>
      </c>
      <c r="BG19" s="985"/>
      <c r="BH19" s="415"/>
    </row>
    <row r="20" spans="1:60" s="986" customFormat="1" ht="11.25" hidden="1" customHeight="1">
      <c r="A20" s="980"/>
      <c r="B20" s="980"/>
      <c r="C20" s="1066"/>
      <c r="D20" s="1066"/>
      <c r="W20" s="1066"/>
      <c r="X20" s="1066"/>
      <c r="AB20" s="1066"/>
      <c r="AC20" s="1066"/>
      <c r="AG20" s="1066"/>
      <c r="AH20" s="1066"/>
      <c r="AL20" s="1066"/>
      <c r="AM20" s="1066"/>
      <c r="AQ20" s="1066"/>
      <c r="AR20" s="1066"/>
      <c r="AV20" s="1066"/>
      <c r="AW20" s="1066"/>
      <c r="BC20" s="985"/>
      <c r="BD20" s="1067"/>
      <c r="BE20" s="1067"/>
      <c r="BF20" s="985"/>
      <c r="BG20" s="985"/>
      <c r="BH20" s="633"/>
    </row>
    <row r="21" spans="1:60" s="630" customFormat="1" ht="15" customHeight="1">
      <c r="A21" s="498" t="s">
        <v>832</v>
      </c>
      <c r="B21" s="498"/>
      <c r="C21" s="633"/>
      <c r="D21" s="744"/>
      <c r="E21" s="633"/>
      <c r="F21" s="633"/>
      <c r="G21" s="633"/>
      <c r="H21" s="633"/>
      <c r="I21" s="633"/>
      <c r="J21" s="633"/>
      <c r="K21" s="633"/>
      <c r="L21" s="633"/>
      <c r="M21" s="633"/>
      <c r="N21" s="633"/>
      <c r="O21" s="633"/>
      <c r="P21" s="633"/>
      <c r="Q21" s="633"/>
      <c r="R21" s="633"/>
      <c r="S21" s="633"/>
      <c r="T21" s="633"/>
      <c r="U21" s="633"/>
      <c r="V21" s="633"/>
      <c r="W21" s="633"/>
      <c r="X21" s="744"/>
      <c r="Y21" s="633"/>
      <c r="Z21" s="633"/>
      <c r="AA21" s="633"/>
      <c r="AB21" s="633"/>
      <c r="AC21" s="744"/>
      <c r="AD21" s="633"/>
      <c r="AE21" s="633"/>
      <c r="AF21" s="633"/>
      <c r="AG21" s="633"/>
      <c r="AH21" s="744"/>
      <c r="AI21" s="633"/>
      <c r="AJ21" s="633"/>
      <c r="AK21" s="633"/>
      <c r="AL21" s="633"/>
      <c r="AM21" s="744"/>
      <c r="AN21" s="633"/>
      <c r="AO21" s="633"/>
      <c r="AP21" s="633"/>
      <c r="AQ21" s="633"/>
      <c r="AR21" s="744"/>
      <c r="AS21" s="633"/>
      <c r="AT21" s="633"/>
      <c r="AU21" s="633"/>
      <c r="AV21" s="633"/>
      <c r="AW21" s="744"/>
      <c r="AX21" s="633"/>
      <c r="AY21" s="633"/>
      <c r="AZ21" s="633"/>
      <c r="BA21" s="633"/>
      <c r="BB21" s="633"/>
      <c r="BC21" s="809"/>
      <c r="BD21" s="809"/>
      <c r="BE21" s="1067"/>
      <c r="BF21" s="809"/>
      <c r="BG21" s="961"/>
      <c r="BH21" s="633"/>
    </row>
    <row r="22" spans="1:60" ht="15" hidden="1" customHeight="1">
      <c r="A22" s="405" t="s">
        <v>11</v>
      </c>
      <c r="B22" s="405"/>
      <c r="C22" s="1083"/>
      <c r="D22" s="1084"/>
      <c r="E22" s="1019">
        <f>SUM(C22+D22)</f>
        <v>0</v>
      </c>
      <c r="F22" s="1085"/>
      <c r="G22" s="1085"/>
      <c r="H22" s="1085"/>
      <c r="I22" s="1086"/>
      <c r="J22" s="1085">
        <f>SUM(H22+I22)</f>
        <v>0</v>
      </c>
      <c r="K22" s="1085"/>
      <c r="L22" s="1085"/>
      <c r="M22" s="1085"/>
      <c r="N22" s="1086"/>
      <c r="O22" s="1019">
        <f>SUM(M22+N22)</f>
        <v>0</v>
      </c>
      <c r="P22" s="1085"/>
      <c r="Q22" s="1085"/>
      <c r="R22" s="1085"/>
      <c r="S22" s="1086"/>
      <c r="T22" s="1085">
        <f>SUM(R22+S22)</f>
        <v>0</v>
      </c>
      <c r="U22" s="1085"/>
      <c r="V22" s="1085"/>
      <c r="W22" s="1083"/>
      <c r="X22" s="1084"/>
      <c r="Y22" s="1085">
        <f>SUM(W22+X22)</f>
        <v>0</v>
      </c>
      <c r="Z22" s="1085"/>
      <c r="AA22" s="1085"/>
      <c r="AB22" s="1083"/>
      <c r="AC22" s="1084"/>
      <c r="AD22" s="1019">
        <f>SUM(AB22+AC22)</f>
        <v>0</v>
      </c>
      <c r="AE22" s="1085"/>
      <c r="AF22" s="1085"/>
      <c r="AG22" s="1083"/>
      <c r="AH22" s="1084"/>
      <c r="AI22" s="1019">
        <f>SUM(AG22+AH22)</f>
        <v>0</v>
      </c>
      <c r="AJ22" s="1085"/>
      <c r="AK22" s="1085"/>
      <c r="AL22" s="1083"/>
      <c r="AM22" s="1084"/>
      <c r="AN22" s="1019">
        <f>SUM(AL22+AM22)</f>
        <v>0</v>
      </c>
      <c r="AO22" s="1085"/>
      <c r="AP22" s="1085"/>
      <c r="AQ22" s="1083"/>
      <c r="AR22" s="1084"/>
      <c r="AS22" s="1085">
        <f>SUM(AQ22+AR22)</f>
        <v>0</v>
      </c>
      <c r="AT22" s="1085"/>
      <c r="AU22" s="1085"/>
      <c r="AV22" s="1083"/>
      <c r="AW22" s="1084"/>
      <c r="AX22" s="1085">
        <f>SUM(AV22+AW22)</f>
        <v>0</v>
      </c>
      <c r="AY22" s="1085"/>
      <c r="AZ22" s="1019"/>
      <c r="BA22" s="1019"/>
      <c r="BB22" s="1019"/>
      <c r="BC22" s="1087"/>
      <c r="BD22" s="1088">
        <f t="shared" ref="BD22:BE25" si="2">C22+H22+M22+R22+W22+AB22+AG22+AL22+AQ22+AV22</f>
        <v>0</v>
      </c>
      <c r="BE22" s="1089">
        <f t="shared" si="2"/>
        <v>0</v>
      </c>
      <c r="BF22" s="1090">
        <f>SUM(BD22+BE22)</f>
        <v>0</v>
      </c>
    </row>
    <row r="23" spans="1:60" ht="17.25" customHeight="1">
      <c r="A23" s="405" t="s">
        <v>701</v>
      </c>
      <c r="B23" s="1083">
        <v>995391300</v>
      </c>
      <c r="C23" s="1083">
        <v>996395300</v>
      </c>
      <c r="D23" s="1084">
        <v>934600</v>
      </c>
      <c r="E23" s="1019">
        <v>1028817806</v>
      </c>
      <c r="F23" s="1085">
        <v>915990690</v>
      </c>
      <c r="G23" s="1085"/>
      <c r="H23" s="1085"/>
      <c r="I23" s="1086"/>
      <c r="J23" s="1085">
        <f>SUM(H23+I23)</f>
        <v>0</v>
      </c>
      <c r="K23" s="1085"/>
      <c r="L23" s="1085">
        <v>1900000</v>
      </c>
      <c r="M23" s="1085">
        <v>1900000</v>
      </c>
      <c r="N23" s="1086"/>
      <c r="O23" s="1019">
        <v>2041000</v>
      </c>
      <c r="P23" s="1085">
        <v>1716230</v>
      </c>
      <c r="Q23" s="1085"/>
      <c r="R23" s="1085"/>
      <c r="S23" s="1086"/>
      <c r="T23" s="1085">
        <f>SUM(R23+S23)</f>
        <v>0</v>
      </c>
      <c r="U23" s="1085"/>
      <c r="V23" s="1083"/>
      <c r="W23" s="1083"/>
      <c r="X23" s="1084"/>
      <c r="Y23" s="1085">
        <f>SUM(W23+X23)</f>
        <v>0</v>
      </c>
      <c r="Z23" s="1085"/>
      <c r="AA23" s="1085">
        <v>1500000</v>
      </c>
      <c r="AB23" s="1083">
        <v>1500000</v>
      </c>
      <c r="AC23" s="1084"/>
      <c r="AD23" s="1019">
        <f>SUM(AB23+AC23)</f>
        <v>1500000</v>
      </c>
      <c r="AE23" s="1085">
        <v>1271741</v>
      </c>
      <c r="AF23" s="1085"/>
      <c r="AG23" s="1083"/>
      <c r="AH23" s="1084"/>
      <c r="AI23" s="1019">
        <f>SUM(AG23+AH23)</f>
        <v>0</v>
      </c>
      <c r="AJ23" s="1085"/>
      <c r="AK23" s="1085">
        <v>17372000</v>
      </c>
      <c r="AL23" s="1083">
        <v>17372000</v>
      </c>
      <c r="AM23" s="1084"/>
      <c r="AN23" s="1019">
        <v>17560976</v>
      </c>
      <c r="AO23" s="1085">
        <f>188976+17320000</f>
        <v>17508976</v>
      </c>
      <c r="AP23" s="1085"/>
      <c r="AQ23" s="1083"/>
      <c r="AR23" s="1084"/>
      <c r="AS23" s="1085">
        <f>SUM(AQ23+AR23)</f>
        <v>0</v>
      </c>
      <c r="AT23" s="1085">
        <f>AQ23-AP23</f>
        <v>0</v>
      </c>
      <c r="AU23" s="1083"/>
      <c r="AV23" s="1083"/>
      <c r="AW23" s="1084"/>
      <c r="AX23" s="1085">
        <f>SUM(AV23+AW23)</f>
        <v>0</v>
      </c>
      <c r="AY23" s="1085">
        <f>AV23-AU23</f>
        <v>0</v>
      </c>
      <c r="AZ23" s="1019"/>
      <c r="BA23" s="1019">
        <v>13540000</v>
      </c>
      <c r="BB23" s="1019">
        <v>13540000</v>
      </c>
      <c r="BC23" s="1088">
        <f t="shared" ref="BC23:BC36" si="3">B23+G23+L23+Q23+V23+AA23+AF23+AK23+AP23+AU23</f>
        <v>1016163300</v>
      </c>
      <c r="BD23" s="1088">
        <f t="shared" si="2"/>
        <v>1017167300</v>
      </c>
      <c r="BE23" s="1091">
        <f t="shared" si="2"/>
        <v>934600</v>
      </c>
      <c r="BF23" s="1090">
        <f t="shared" ref="BF23:BF35" si="4">SUM(E23+O23+AD23+AI23+AN23+BA23)</f>
        <v>1063459782</v>
      </c>
      <c r="BG23" s="1090">
        <f t="shared" ref="BG23:BG35" si="5">SUM(F23+P23+AE23+AJ23+AO23+BB23)</f>
        <v>950027637</v>
      </c>
    </row>
    <row r="24" spans="1:60" ht="15" customHeight="1">
      <c r="A24" s="405" t="s">
        <v>702</v>
      </c>
      <c r="B24" s="1083">
        <v>22234000</v>
      </c>
      <c r="C24" s="1083">
        <f>20746000+1819000-331000</f>
        <v>22234000</v>
      </c>
      <c r="D24" s="1084">
        <v>330709</v>
      </c>
      <c r="E24" s="1019">
        <v>22385744</v>
      </c>
      <c r="F24" s="1085">
        <v>11378518</v>
      </c>
      <c r="G24" s="1085"/>
      <c r="H24" s="1085"/>
      <c r="I24" s="1086"/>
      <c r="J24" s="1085">
        <f>SUM(H24+I24)</f>
        <v>0</v>
      </c>
      <c r="K24" s="1085"/>
      <c r="L24" s="1085">
        <v>1505000</v>
      </c>
      <c r="M24" s="1085">
        <v>1505000</v>
      </c>
      <c r="N24" s="1086"/>
      <c r="O24" s="1019">
        <v>1364000</v>
      </c>
      <c r="P24" s="1085">
        <v>944606</v>
      </c>
      <c r="Q24" s="1085"/>
      <c r="R24" s="1085"/>
      <c r="S24" s="1086"/>
      <c r="T24" s="1085">
        <f>SUM(R24+S24)</f>
        <v>0</v>
      </c>
      <c r="U24" s="1085"/>
      <c r="V24" s="1083"/>
      <c r="W24" s="1083"/>
      <c r="X24" s="1084"/>
      <c r="Y24" s="1085">
        <f>SUM(W24+X24)</f>
        <v>0</v>
      </c>
      <c r="Z24" s="1085"/>
      <c r="AA24" s="1085"/>
      <c r="AB24" s="1083"/>
      <c r="AC24" s="1084"/>
      <c r="AD24" s="1019">
        <f>SUM(AB24+AC24)</f>
        <v>0</v>
      </c>
      <c r="AE24" s="1085"/>
      <c r="AF24" s="1085"/>
      <c r="AG24" s="1083"/>
      <c r="AH24" s="1084"/>
      <c r="AI24" s="1019">
        <f>SUM(AG24+AH24)</f>
        <v>0</v>
      </c>
      <c r="AJ24" s="1085"/>
      <c r="AK24" s="1085"/>
      <c r="AL24" s="1083"/>
      <c r="AM24" s="1084"/>
      <c r="AN24" s="1019">
        <f>SUM(AL24+AM24)</f>
        <v>0</v>
      </c>
      <c r="AO24" s="1085"/>
      <c r="AP24" s="1085"/>
      <c r="AQ24" s="1083"/>
      <c r="AR24" s="1084"/>
      <c r="AS24" s="1085">
        <f>SUM(AQ24+AR24)</f>
        <v>0</v>
      </c>
      <c r="AT24" s="1085">
        <f>AQ24-AP24</f>
        <v>0</v>
      </c>
      <c r="AU24" s="1083"/>
      <c r="AV24" s="1083"/>
      <c r="AW24" s="1084"/>
      <c r="AX24" s="1085">
        <f>SUM(AV24+AW24)</f>
        <v>0</v>
      </c>
      <c r="AY24" s="1085">
        <f>AV24-AU24</f>
        <v>0</v>
      </c>
      <c r="AZ24" s="1019"/>
      <c r="BA24" s="1019">
        <v>7139105</v>
      </c>
      <c r="BB24" s="1019">
        <v>7139104</v>
      </c>
      <c r="BC24" s="1088">
        <f t="shared" si="3"/>
        <v>23739000</v>
      </c>
      <c r="BD24" s="1088">
        <f t="shared" si="2"/>
        <v>23739000</v>
      </c>
      <c r="BE24" s="1091">
        <f t="shared" si="2"/>
        <v>330709</v>
      </c>
      <c r="BF24" s="1090">
        <f t="shared" si="4"/>
        <v>30888849</v>
      </c>
      <c r="BG24" s="1090">
        <f t="shared" si="5"/>
        <v>19462228</v>
      </c>
    </row>
    <row r="25" spans="1:60" ht="15" customHeight="1">
      <c r="A25" s="455" t="s">
        <v>703</v>
      </c>
      <c r="B25" s="1083">
        <v>292651551</v>
      </c>
      <c r="C25" s="1083">
        <v>308239631</v>
      </c>
      <c r="D25" s="1084">
        <v>462258</v>
      </c>
      <c r="E25" s="1019">
        <v>305078126</v>
      </c>
      <c r="F25" s="1085">
        <v>255042267</v>
      </c>
      <c r="G25" s="1085"/>
      <c r="H25" s="1085"/>
      <c r="I25" s="1086"/>
      <c r="J25" s="1085">
        <f>SUM(H25+I25)</f>
        <v>0</v>
      </c>
      <c r="K25" s="1085"/>
      <c r="L25" s="1085">
        <v>1686000</v>
      </c>
      <c r="M25" s="1085">
        <f>1360000+326000</f>
        <v>1686000</v>
      </c>
      <c r="N25" s="1086"/>
      <c r="O25" s="1019">
        <v>1686000</v>
      </c>
      <c r="P25" s="1085">
        <v>1455707</v>
      </c>
      <c r="Q25" s="1085"/>
      <c r="R25" s="1085"/>
      <c r="S25" s="1086"/>
      <c r="T25" s="1085">
        <f>SUM(R25+S25)</f>
        <v>0</v>
      </c>
      <c r="U25" s="1085"/>
      <c r="V25" s="1083"/>
      <c r="W25" s="1083"/>
      <c r="X25" s="1084"/>
      <c r="Y25" s="1085">
        <f>SUM(W25+X25)</f>
        <v>0</v>
      </c>
      <c r="Z25" s="1085"/>
      <c r="AA25" s="1085">
        <v>455000</v>
      </c>
      <c r="AB25" s="1083">
        <f>405000+50000</f>
        <v>455000</v>
      </c>
      <c r="AC25" s="1084"/>
      <c r="AD25" s="1019">
        <f>SUM(AB25+AC25)</f>
        <v>455000</v>
      </c>
      <c r="AE25" s="1085">
        <v>174150</v>
      </c>
      <c r="AF25" s="1085"/>
      <c r="AG25" s="1083"/>
      <c r="AH25" s="1084"/>
      <c r="AI25" s="1019">
        <f>SUM(AG25+AH25)</f>
        <v>0</v>
      </c>
      <c r="AJ25" s="1085"/>
      <c r="AK25" s="1085">
        <v>14335000</v>
      </c>
      <c r="AL25" s="1083">
        <v>14335000</v>
      </c>
      <c r="AM25" s="1084"/>
      <c r="AN25" s="1019">
        <v>14386024</v>
      </c>
      <c r="AO25" s="1085">
        <f>11127580+4676400</f>
        <v>15803980</v>
      </c>
      <c r="AP25" s="1085"/>
      <c r="AQ25" s="1083"/>
      <c r="AR25" s="1084"/>
      <c r="AS25" s="1085">
        <f>SUM(AQ25+AR25)</f>
        <v>0</v>
      </c>
      <c r="AT25" s="1085">
        <f>AQ25-AP25</f>
        <v>0</v>
      </c>
      <c r="AU25" s="1083"/>
      <c r="AV25" s="1083"/>
      <c r="AW25" s="1084"/>
      <c r="AX25" s="1085">
        <f>SUM(AV25+AW25)</f>
        <v>0</v>
      </c>
      <c r="AY25" s="1085">
        <f>AV25-AU25</f>
        <v>0</v>
      </c>
      <c r="AZ25" s="1019"/>
      <c r="BA25" s="1019">
        <v>5783299</v>
      </c>
      <c r="BB25" s="1019">
        <v>5783299</v>
      </c>
      <c r="BC25" s="1088">
        <f t="shared" si="3"/>
        <v>309127551</v>
      </c>
      <c r="BD25" s="1088">
        <f t="shared" si="2"/>
        <v>324715631</v>
      </c>
      <c r="BE25" s="1091">
        <f t="shared" si="2"/>
        <v>462258</v>
      </c>
      <c r="BF25" s="1090">
        <f t="shared" si="4"/>
        <v>327388449</v>
      </c>
      <c r="BG25" s="1090">
        <f t="shared" si="5"/>
        <v>278259403</v>
      </c>
    </row>
    <row r="26" spans="1:60" ht="15" hidden="1" customHeight="1">
      <c r="A26" s="1092" t="s">
        <v>704</v>
      </c>
      <c r="B26" s="1083"/>
      <c r="C26" s="1083"/>
      <c r="D26" s="1084"/>
      <c r="E26" s="1019"/>
      <c r="F26" s="1085"/>
      <c r="G26" s="1085"/>
      <c r="H26" s="1085"/>
      <c r="I26" s="1086"/>
      <c r="J26" s="1085"/>
      <c r="K26" s="1085"/>
      <c r="L26" s="1085"/>
      <c r="M26" s="1085"/>
      <c r="N26" s="1086"/>
      <c r="O26" s="1019"/>
      <c r="P26" s="1085"/>
      <c r="Q26" s="1085"/>
      <c r="R26" s="1085"/>
      <c r="S26" s="1086"/>
      <c r="T26" s="1085"/>
      <c r="U26" s="1085"/>
      <c r="V26" s="1083"/>
      <c r="W26" s="1083"/>
      <c r="X26" s="1084"/>
      <c r="Y26" s="1085"/>
      <c r="Z26" s="1085"/>
      <c r="AA26" s="1085"/>
      <c r="AB26" s="1083"/>
      <c r="AC26" s="1084"/>
      <c r="AD26" s="1019"/>
      <c r="AE26" s="1085"/>
      <c r="AF26" s="1085"/>
      <c r="AG26" s="1083"/>
      <c r="AH26" s="1084"/>
      <c r="AI26" s="1019"/>
      <c r="AJ26" s="1085"/>
      <c r="AK26" s="1085"/>
      <c r="AL26" s="1083"/>
      <c r="AM26" s="1084"/>
      <c r="AN26" s="1019"/>
      <c r="AO26" s="1085"/>
      <c r="AP26" s="1085"/>
      <c r="AQ26" s="1083"/>
      <c r="AR26" s="1084"/>
      <c r="AS26" s="1085"/>
      <c r="AT26" s="1085"/>
      <c r="AU26" s="1083"/>
      <c r="AV26" s="1083"/>
      <c r="AW26" s="1084"/>
      <c r="AX26" s="1085"/>
      <c r="AY26" s="1085"/>
      <c r="AZ26" s="1019"/>
      <c r="BA26" s="1019"/>
      <c r="BB26" s="1019"/>
      <c r="BC26" s="1088">
        <f t="shared" si="3"/>
        <v>0</v>
      </c>
      <c r="BD26" s="1088"/>
      <c r="BE26" s="1091"/>
      <c r="BF26" s="1090">
        <f t="shared" si="4"/>
        <v>0</v>
      </c>
      <c r="BG26" s="1090">
        <f t="shared" si="5"/>
        <v>0</v>
      </c>
    </row>
    <row r="27" spans="1:60" ht="15" hidden="1" customHeight="1">
      <c r="A27" s="1093" t="s">
        <v>705</v>
      </c>
      <c r="B27" s="1093"/>
      <c r="C27" s="1083"/>
      <c r="D27" s="1084"/>
      <c r="E27" s="1019">
        <f>SUM(C27+D27)</f>
        <v>0</v>
      </c>
      <c r="F27" s="1085"/>
      <c r="G27" s="1085"/>
      <c r="H27" s="1083"/>
      <c r="I27" s="1084"/>
      <c r="J27" s="1085">
        <f t="shared" ref="J27:J38" si="6">SUM(H27+I27)</f>
        <v>0</v>
      </c>
      <c r="K27" s="1085"/>
      <c r="L27" s="1085"/>
      <c r="M27" s="1083"/>
      <c r="N27" s="1084"/>
      <c r="O27" s="1019">
        <f>SUM(M27+N27)</f>
        <v>0</v>
      </c>
      <c r="P27" s="1085"/>
      <c r="Q27" s="1085"/>
      <c r="R27" s="1083"/>
      <c r="S27" s="1084"/>
      <c r="T27" s="1085">
        <f t="shared" ref="T27:T38" si="7">SUM(R27+S27)</f>
        <v>0</v>
      </c>
      <c r="U27" s="1085"/>
      <c r="V27" s="1085"/>
      <c r="W27" s="1083"/>
      <c r="X27" s="1084"/>
      <c r="Y27" s="1085">
        <f t="shared" ref="Y27:Y38" si="8">SUM(W27+X27)</f>
        <v>0</v>
      </c>
      <c r="Z27" s="1085"/>
      <c r="AA27" s="1085"/>
      <c r="AB27" s="1083"/>
      <c r="AC27" s="1084"/>
      <c r="AD27" s="1019">
        <f t="shared" ref="AD27:AD34" si="9">SUM(AB27+AC27)</f>
        <v>0</v>
      </c>
      <c r="AE27" s="1085"/>
      <c r="AF27" s="1085"/>
      <c r="AG27" s="1083"/>
      <c r="AH27" s="1084"/>
      <c r="AI27" s="1019">
        <f t="shared" ref="AI27:AI33" si="10">SUM(AG27+AH27)</f>
        <v>0</v>
      </c>
      <c r="AJ27" s="1085"/>
      <c r="AK27" s="1085"/>
      <c r="AL27" s="1083"/>
      <c r="AM27" s="1084"/>
      <c r="AN27" s="1019">
        <f>SUM(AL27+AM27)</f>
        <v>0</v>
      </c>
      <c r="AO27" s="1085"/>
      <c r="AP27" s="1085"/>
      <c r="AQ27" s="1083"/>
      <c r="AR27" s="1084"/>
      <c r="AS27" s="1085">
        <f t="shared" ref="AS27:AS33" si="11">SUM(AQ27+AR27)</f>
        <v>0</v>
      </c>
      <c r="AT27" s="1085">
        <f t="shared" ref="AT27:AT36" si="12">AQ27-AP27</f>
        <v>0</v>
      </c>
      <c r="AU27" s="1085"/>
      <c r="AV27" s="1083"/>
      <c r="AW27" s="1084"/>
      <c r="AX27" s="1085">
        <f t="shared" ref="AX27:AX33" si="13">SUM(AV27+AW27)</f>
        <v>0</v>
      </c>
      <c r="AY27" s="1085">
        <f t="shared" ref="AY27:AY36" si="14">AV27-AU27</f>
        <v>0</v>
      </c>
      <c r="AZ27" s="1019"/>
      <c r="BA27" s="1019"/>
      <c r="BB27" s="1019"/>
      <c r="BC27" s="1088">
        <f t="shared" si="3"/>
        <v>0</v>
      </c>
      <c r="BD27" s="1088">
        <f t="shared" ref="BD27:BD38" si="15">C27+H27+M27+R27+W27+AB27+AG27+AL27+AQ27+AV27</f>
        <v>0</v>
      </c>
      <c r="BE27" s="1091">
        <f t="shared" ref="BE27:BE38" si="16">D27+I27+N27+S27+X27+AC27+AH27+AM27+AR27+AW27</f>
        <v>0</v>
      </c>
      <c r="BF27" s="1090">
        <f t="shared" si="4"/>
        <v>0</v>
      </c>
      <c r="BG27" s="1090">
        <f t="shared" si="5"/>
        <v>0</v>
      </c>
    </row>
    <row r="28" spans="1:60" ht="15" hidden="1" customHeight="1">
      <c r="A28" s="1093" t="s">
        <v>706</v>
      </c>
      <c r="B28" s="1093"/>
      <c r="C28" s="1083"/>
      <c r="D28" s="1084"/>
      <c r="E28" s="1019">
        <f>SUM(C28+D28)</f>
        <v>0</v>
      </c>
      <c r="F28" s="1085"/>
      <c r="G28" s="1085"/>
      <c r="H28" s="1083"/>
      <c r="I28" s="1084"/>
      <c r="J28" s="1085">
        <f t="shared" si="6"/>
        <v>0</v>
      </c>
      <c r="K28" s="1085"/>
      <c r="L28" s="1085"/>
      <c r="M28" s="1083"/>
      <c r="N28" s="1084"/>
      <c r="O28" s="1019">
        <f>SUM(M28+N28)</f>
        <v>0</v>
      </c>
      <c r="P28" s="1085"/>
      <c r="Q28" s="1085"/>
      <c r="R28" s="1083"/>
      <c r="S28" s="1084"/>
      <c r="T28" s="1085">
        <f t="shared" si="7"/>
        <v>0</v>
      </c>
      <c r="U28" s="1085"/>
      <c r="V28" s="1085"/>
      <c r="W28" s="1083"/>
      <c r="X28" s="1084"/>
      <c r="Y28" s="1085">
        <f t="shared" si="8"/>
        <v>0</v>
      </c>
      <c r="Z28" s="1085"/>
      <c r="AA28" s="1085"/>
      <c r="AB28" s="1083"/>
      <c r="AC28" s="1084"/>
      <c r="AD28" s="1019">
        <f t="shared" si="9"/>
        <v>0</v>
      </c>
      <c r="AE28" s="1085"/>
      <c r="AF28" s="1085"/>
      <c r="AG28" s="1083"/>
      <c r="AH28" s="1084"/>
      <c r="AI28" s="1019">
        <f t="shared" si="10"/>
        <v>0</v>
      </c>
      <c r="AJ28" s="1085"/>
      <c r="AK28" s="1085"/>
      <c r="AL28" s="1083"/>
      <c r="AM28" s="1084"/>
      <c r="AN28" s="1019">
        <f>SUM(AL28+AM28)</f>
        <v>0</v>
      </c>
      <c r="AO28" s="1085"/>
      <c r="AP28" s="1085"/>
      <c r="AQ28" s="1083"/>
      <c r="AR28" s="1084"/>
      <c r="AS28" s="1085">
        <f t="shared" si="11"/>
        <v>0</v>
      </c>
      <c r="AT28" s="1085">
        <f t="shared" si="12"/>
        <v>0</v>
      </c>
      <c r="AU28" s="1085"/>
      <c r="AV28" s="1083"/>
      <c r="AW28" s="1084"/>
      <c r="AX28" s="1085">
        <f t="shared" si="13"/>
        <v>0</v>
      </c>
      <c r="AY28" s="1085">
        <f t="shared" si="14"/>
        <v>0</v>
      </c>
      <c r="AZ28" s="1019"/>
      <c r="BA28" s="1019"/>
      <c r="BB28" s="1019"/>
      <c r="BC28" s="1088">
        <f t="shared" si="3"/>
        <v>0</v>
      </c>
      <c r="BD28" s="1088">
        <f t="shared" si="15"/>
        <v>0</v>
      </c>
      <c r="BE28" s="1091">
        <f t="shared" si="16"/>
        <v>0</v>
      </c>
      <c r="BF28" s="1090">
        <f t="shared" si="4"/>
        <v>0</v>
      </c>
      <c r="BG28" s="1090">
        <f t="shared" si="5"/>
        <v>0</v>
      </c>
    </row>
    <row r="29" spans="1:60" ht="15" customHeight="1">
      <c r="A29" s="1092" t="s">
        <v>707</v>
      </c>
      <c r="B29" s="1083">
        <v>36151000</v>
      </c>
      <c r="C29" s="1083">
        <v>36151000</v>
      </c>
      <c r="D29" s="1084">
        <v>289291</v>
      </c>
      <c r="E29" s="1019">
        <v>37061702</v>
      </c>
      <c r="F29" s="1085">
        <v>21436296</v>
      </c>
      <c r="G29" s="1085"/>
      <c r="H29" s="1085"/>
      <c r="I29" s="1086"/>
      <c r="J29" s="1085">
        <f t="shared" si="6"/>
        <v>0</v>
      </c>
      <c r="K29" s="1085"/>
      <c r="L29" s="1085">
        <v>396144000</v>
      </c>
      <c r="M29" s="1085">
        <f>395880000+264000</f>
        <v>396144000</v>
      </c>
      <c r="N29" s="1086">
        <v>-167000</v>
      </c>
      <c r="O29" s="1019">
        <v>397797411</v>
      </c>
      <c r="P29" s="1085">
        <f>15719711+219076732+51641203</f>
        <v>286437646</v>
      </c>
      <c r="Q29" s="1085"/>
      <c r="R29" s="1085"/>
      <c r="S29" s="1086"/>
      <c r="T29" s="1085">
        <f t="shared" si="7"/>
        <v>0</v>
      </c>
      <c r="U29" s="1085"/>
      <c r="V29" s="1085"/>
      <c r="W29" s="1085"/>
      <c r="X29" s="1084"/>
      <c r="Y29" s="1085">
        <f t="shared" si="8"/>
        <v>0</v>
      </c>
      <c r="Z29" s="1085"/>
      <c r="AA29" s="1085">
        <v>13770000</v>
      </c>
      <c r="AB29" s="1083">
        <v>13770000</v>
      </c>
      <c r="AC29" s="1084"/>
      <c r="AD29" s="1019">
        <f t="shared" si="9"/>
        <v>13770000</v>
      </c>
      <c r="AE29" s="1085">
        <f>7727070+259474</f>
        <v>7986544</v>
      </c>
      <c r="AF29" s="1083">
        <v>143000</v>
      </c>
      <c r="AG29" s="1083">
        <v>143000</v>
      </c>
      <c r="AH29" s="1084"/>
      <c r="AI29" s="1019">
        <f t="shared" si="10"/>
        <v>143000</v>
      </c>
      <c r="AJ29" s="1085">
        <v>51345</v>
      </c>
      <c r="AK29" s="1083">
        <v>28937000</v>
      </c>
      <c r="AL29" s="1083">
        <f>29201000-264000</f>
        <v>28937000</v>
      </c>
      <c r="AM29" s="1084"/>
      <c r="AN29" s="1019">
        <v>23695065</v>
      </c>
      <c r="AO29" s="1085">
        <f>3412255+6911920</f>
        <v>10324175</v>
      </c>
      <c r="AP29" s="1083"/>
      <c r="AQ29" s="1083"/>
      <c r="AR29" s="1084"/>
      <c r="AS29" s="1085">
        <f t="shared" si="11"/>
        <v>0</v>
      </c>
      <c r="AT29" s="1085">
        <f t="shared" si="12"/>
        <v>0</v>
      </c>
      <c r="AU29" s="1083"/>
      <c r="AV29" s="1083"/>
      <c r="AW29" s="1084"/>
      <c r="AX29" s="1085">
        <f t="shared" si="13"/>
        <v>0</v>
      </c>
      <c r="AY29" s="1085">
        <f t="shared" si="14"/>
        <v>0</v>
      </c>
      <c r="AZ29" s="1019"/>
      <c r="BA29" s="1019">
        <v>6912634</v>
      </c>
      <c r="BB29" s="1019">
        <v>6495438</v>
      </c>
      <c r="BC29" s="1088">
        <f t="shared" si="3"/>
        <v>475145000</v>
      </c>
      <c r="BD29" s="1088">
        <f t="shared" si="15"/>
        <v>475145000</v>
      </c>
      <c r="BE29" s="1091">
        <f t="shared" si="16"/>
        <v>122291</v>
      </c>
      <c r="BF29" s="1090">
        <f t="shared" si="4"/>
        <v>479379812</v>
      </c>
      <c r="BG29" s="1090">
        <f t="shared" si="5"/>
        <v>332731444</v>
      </c>
    </row>
    <row r="30" spans="1:60" ht="15" customHeight="1">
      <c r="A30" s="405" t="s">
        <v>17</v>
      </c>
      <c r="B30" s="405"/>
      <c r="C30" s="1083"/>
      <c r="D30" s="1084"/>
      <c r="E30" s="1019">
        <v>108225</v>
      </c>
      <c r="F30" s="1085">
        <v>108225</v>
      </c>
      <c r="G30" s="1085"/>
      <c r="H30" s="1083"/>
      <c r="I30" s="1084"/>
      <c r="J30" s="1085">
        <f t="shared" si="6"/>
        <v>0</v>
      </c>
      <c r="K30" s="1085"/>
      <c r="L30" s="1085"/>
      <c r="M30" s="1083"/>
      <c r="N30" s="1084"/>
      <c r="O30" s="1019">
        <f t="shared" ref="O30:O38" si="17">SUM(M30+N30)</f>
        <v>0</v>
      </c>
      <c r="P30" s="1085"/>
      <c r="Q30" s="1085"/>
      <c r="R30" s="1083"/>
      <c r="S30" s="1084"/>
      <c r="T30" s="1085">
        <f t="shared" si="7"/>
        <v>0</v>
      </c>
      <c r="U30" s="1085"/>
      <c r="V30" s="1085"/>
      <c r="W30" s="1083"/>
      <c r="X30" s="1084"/>
      <c r="Y30" s="1085">
        <f t="shared" si="8"/>
        <v>0</v>
      </c>
      <c r="Z30" s="1085"/>
      <c r="AA30" s="1085"/>
      <c r="AB30" s="1083"/>
      <c r="AC30" s="1084"/>
      <c r="AD30" s="1019">
        <f t="shared" si="9"/>
        <v>0</v>
      </c>
      <c r="AE30" s="1085"/>
      <c r="AF30" s="1083"/>
      <c r="AG30" s="1083"/>
      <c r="AH30" s="1084"/>
      <c r="AI30" s="1019">
        <f t="shared" si="10"/>
        <v>0</v>
      </c>
      <c r="AJ30" s="1085"/>
      <c r="AK30" s="1083"/>
      <c r="AL30" s="1083"/>
      <c r="AM30" s="1084"/>
      <c r="AN30" s="1019">
        <f>SUM(AL30+AM30)</f>
        <v>0</v>
      </c>
      <c r="AO30" s="1085"/>
      <c r="AP30" s="1083"/>
      <c r="AQ30" s="1083"/>
      <c r="AR30" s="1084"/>
      <c r="AS30" s="1085">
        <f t="shared" si="11"/>
        <v>0</v>
      </c>
      <c r="AT30" s="1085">
        <f t="shared" si="12"/>
        <v>0</v>
      </c>
      <c r="AU30" s="1085"/>
      <c r="AV30" s="1083"/>
      <c r="AW30" s="1084"/>
      <c r="AX30" s="1085">
        <f t="shared" si="13"/>
        <v>0</v>
      </c>
      <c r="AY30" s="1085">
        <f t="shared" si="14"/>
        <v>0</v>
      </c>
      <c r="AZ30" s="1019"/>
      <c r="BA30" s="1019">
        <v>0</v>
      </c>
      <c r="BB30" s="1019"/>
      <c r="BC30" s="1088">
        <f t="shared" si="3"/>
        <v>0</v>
      </c>
      <c r="BD30" s="1088">
        <f t="shared" si="15"/>
        <v>0</v>
      </c>
      <c r="BE30" s="1091">
        <f t="shared" si="16"/>
        <v>0</v>
      </c>
      <c r="BF30" s="1090">
        <f t="shared" si="4"/>
        <v>108225</v>
      </c>
      <c r="BG30" s="1090">
        <f t="shared" si="5"/>
        <v>108225</v>
      </c>
    </row>
    <row r="31" spans="1:60" ht="15" hidden="1" customHeight="1">
      <c r="A31" s="405" t="s">
        <v>19</v>
      </c>
      <c r="B31" s="405"/>
      <c r="C31" s="1083"/>
      <c r="D31" s="1084"/>
      <c r="E31" s="1019">
        <f t="shared" ref="E31:E38" si="18">SUM(C31+D31)</f>
        <v>0</v>
      </c>
      <c r="F31" s="1085"/>
      <c r="G31" s="1085"/>
      <c r="H31" s="1083"/>
      <c r="I31" s="1084"/>
      <c r="J31" s="1085">
        <f t="shared" si="6"/>
        <v>0</v>
      </c>
      <c r="K31" s="1085"/>
      <c r="L31" s="1085"/>
      <c r="M31" s="1083"/>
      <c r="N31" s="1084"/>
      <c r="O31" s="1019">
        <f t="shared" si="17"/>
        <v>0</v>
      </c>
      <c r="P31" s="1085"/>
      <c r="Q31" s="1085"/>
      <c r="R31" s="1083"/>
      <c r="S31" s="1084"/>
      <c r="T31" s="1085">
        <f t="shared" si="7"/>
        <v>0</v>
      </c>
      <c r="U31" s="1085"/>
      <c r="V31" s="1085"/>
      <c r="W31" s="1083"/>
      <c r="X31" s="1084"/>
      <c r="Y31" s="1085">
        <f t="shared" si="8"/>
        <v>0</v>
      </c>
      <c r="Z31" s="1085"/>
      <c r="AA31" s="1085"/>
      <c r="AB31" s="1083"/>
      <c r="AC31" s="1084"/>
      <c r="AD31" s="1019">
        <f t="shared" si="9"/>
        <v>0</v>
      </c>
      <c r="AE31" s="1085"/>
      <c r="AF31" s="1085"/>
      <c r="AG31" s="1094"/>
      <c r="AH31" s="1084"/>
      <c r="AI31" s="1019">
        <f t="shared" si="10"/>
        <v>0</v>
      </c>
      <c r="AJ31" s="1085"/>
      <c r="AK31" s="1085"/>
      <c r="AL31" s="1094"/>
      <c r="AM31" s="1084"/>
      <c r="AN31" s="1019">
        <f>SUM(AL31+AM31)</f>
        <v>0</v>
      </c>
      <c r="AO31" s="1085"/>
      <c r="AP31" s="1085"/>
      <c r="AQ31" s="1094"/>
      <c r="AR31" s="1084"/>
      <c r="AS31" s="1085">
        <f t="shared" si="11"/>
        <v>0</v>
      </c>
      <c r="AT31" s="1085">
        <f t="shared" si="12"/>
        <v>0</v>
      </c>
      <c r="AU31" s="1085"/>
      <c r="AV31" s="1094"/>
      <c r="AW31" s="1084"/>
      <c r="AX31" s="1085">
        <f t="shared" si="13"/>
        <v>0</v>
      </c>
      <c r="AY31" s="1085">
        <f t="shared" si="14"/>
        <v>0</v>
      </c>
      <c r="AZ31" s="1019"/>
      <c r="BA31" s="1019"/>
      <c r="BB31" s="1019"/>
      <c r="BC31" s="1088">
        <f t="shared" si="3"/>
        <v>0</v>
      </c>
      <c r="BD31" s="1088">
        <f t="shared" si="15"/>
        <v>0</v>
      </c>
      <c r="BE31" s="1091">
        <f t="shared" si="16"/>
        <v>0</v>
      </c>
      <c r="BF31" s="1090">
        <f t="shared" si="4"/>
        <v>0</v>
      </c>
      <c r="BG31" s="1090">
        <f t="shared" si="5"/>
        <v>0</v>
      </c>
    </row>
    <row r="32" spans="1:60" ht="15" customHeight="1">
      <c r="A32" s="405" t="s">
        <v>708</v>
      </c>
      <c r="B32" s="405"/>
      <c r="C32" s="1083"/>
      <c r="D32" s="1084"/>
      <c r="E32" s="1019">
        <f t="shared" si="18"/>
        <v>0</v>
      </c>
      <c r="F32" s="1085"/>
      <c r="G32" s="1085"/>
      <c r="H32" s="1083"/>
      <c r="I32" s="1084"/>
      <c r="J32" s="1085">
        <f t="shared" si="6"/>
        <v>0</v>
      </c>
      <c r="K32" s="1085"/>
      <c r="L32" s="1085"/>
      <c r="M32" s="1083"/>
      <c r="N32" s="1084"/>
      <c r="O32" s="1019">
        <f t="shared" si="17"/>
        <v>0</v>
      </c>
      <c r="P32" s="1085"/>
      <c r="Q32" s="1085"/>
      <c r="R32" s="1083"/>
      <c r="S32" s="1084"/>
      <c r="T32" s="1085">
        <f t="shared" si="7"/>
        <v>0</v>
      </c>
      <c r="U32" s="1085"/>
      <c r="V32" s="1085"/>
      <c r="W32" s="1083"/>
      <c r="X32" s="1084"/>
      <c r="Y32" s="1085">
        <f t="shared" si="8"/>
        <v>0</v>
      </c>
      <c r="Z32" s="1085"/>
      <c r="AA32" s="1085"/>
      <c r="AB32" s="1083"/>
      <c r="AC32" s="1084"/>
      <c r="AD32" s="1019">
        <f t="shared" si="9"/>
        <v>0</v>
      </c>
      <c r="AE32" s="1085"/>
      <c r="AF32" s="1085"/>
      <c r="AG32" s="1094"/>
      <c r="AH32" s="1084"/>
      <c r="AI32" s="1019">
        <f t="shared" si="10"/>
        <v>0</v>
      </c>
      <c r="AJ32" s="1085"/>
      <c r="AK32" s="1085"/>
      <c r="AL32" s="1094"/>
      <c r="AM32" s="1084"/>
      <c r="AN32" s="1019">
        <f>SUM(AL32+AM32)</f>
        <v>0</v>
      </c>
      <c r="AO32" s="1085"/>
      <c r="AP32" s="1085"/>
      <c r="AQ32" s="1094"/>
      <c r="AR32" s="1084"/>
      <c r="AS32" s="1085">
        <f t="shared" si="11"/>
        <v>0</v>
      </c>
      <c r="AT32" s="1085">
        <f t="shared" si="12"/>
        <v>0</v>
      </c>
      <c r="AU32" s="1085"/>
      <c r="AV32" s="1094"/>
      <c r="AW32" s="1084"/>
      <c r="AX32" s="1085">
        <f t="shared" si="13"/>
        <v>0</v>
      </c>
      <c r="AY32" s="1085">
        <f t="shared" si="14"/>
        <v>0</v>
      </c>
      <c r="AZ32" s="1019"/>
      <c r="BA32" s="1019">
        <v>0</v>
      </c>
      <c r="BB32" s="1019"/>
      <c r="BC32" s="1088">
        <f t="shared" si="3"/>
        <v>0</v>
      </c>
      <c r="BD32" s="1088">
        <f t="shared" si="15"/>
        <v>0</v>
      </c>
      <c r="BE32" s="1091">
        <f t="shared" si="16"/>
        <v>0</v>
      </c>
      <c r="BF32" s="1090">
        <f t="shared" si="4"/>
        <v>0</v>
      </c>
      <c r="BG32" s="1090">
        <f t="shared" si="5"/>
        <v>0</v>
      </c>
    </row>
    <row r="33" spans="1:60" ht="15.75" customHeight="1">
      <c r="A33" s="405" t="s">
        <v>709</v>
      </c>
      <c r="B33" s="1083"/>
      <c r="C33" s="1083"/>
      <c r="D33" s="1084"/>
      <c r="E33" s="1019">
        <f t="shared" si="18"/>
        <v>0</v>
      </c>
      <c r="F33" s="1085"/>
      <c r="G33" s="1085"/>
      <c r="H33" s="1083"/>
      <c r="I33" s="1084"/>
      <c r="J33" s="1085">
        <f t="shared" si="6"/>
        <v>0</v>
      </c>
      <c r="K33" s="1085"/>
      <c r="L33" s="1085"/>
      <c r="M33" s="1083"/>
      <c r="N33" s="1084"/>
      <c r="O33" s="1019">
        <f t="shared" si="17"/>
        <v>0</v>
      </c>
      <c r="P33" s="1085"/>
      <c r="Q33" s="1085"/>
      <c r="R33" s="1083"/>
      <c r="S33" s="1084"/>
      <c r="T33" s="1085">
        <f t="shared" si="7"/>
        <v>0</v>
      </c>
      <c r="U33" s="1085"/>
      <c r="V33" s="1085"/>
      <c r="W33" s="1083"/>
      <c r="X33" s="1084"/>
      <c r="Y33" s="1085">
        <f t="shared" si="8"/>
        <v>0</v>
      </c>
      <c r="Z33" s="1085"/>
      <c r="AA33" s="1085"/>
      <c r="AB33" s="1083"/>
      <c r="AC33" s="1084"/>
      <c r="AD33" s="1019">
        <f t="shared" si="9"/>
        <v>0</v>
      </c>
      <c r="AE33" s="1085"/>
      <c r="AF33" s="1085"/>
      <c r="AG33" s="1094"/>
      <c r="AH33" s="1084"/>
      <c r="AI33" s="1019">
        <f t="shared" si="10"/>
        <v>0</v>
      </c>
      <c r="AJ33" s="1085"/>
      <c r="AK33" s="1085"/>
      <c r="AL33" s="1094"/>
      <c r="AM33" s="1084"/>
      <c r="AN33" s="1019">
        <f>SUM(AL33+AM33)</f>
        <v>0</v>
      </c>
      <c r="AO33" s="1085"/>
      <c r="AP33" s="1085"/>
      <c r="AQ33" s="1094"/>
      <c r="AR33" s="1084"/>
      <c r="AS33" s="1085">
        <f t="shared" si="11"/>
        <v>0</v>
      </c>
      <c r="AT33" s="1085">
        <f t="shared" si="12"/>
        <v>0</v>
      </c>
      <c r="AU33" s="1085"/>
      <c r="AV33" s="1094"/>
      <c r="AW33" s="1084"/>
      <c r="AX33" s="1085">
        <f t="shared" si="13"/>
        <v>0</v>
      </c>
      <c r="AY33" s="1085">
        <f t="shared" si="14"/>
        <v>0</v>
      </c>
      <c r="AZ33" s="1019"/>
      <c r="BA33" s="1019">
        <v>666532</v>
      </c>
      <c r="BB33" s="1019">
        <v>666532</v>
      </c>
      <c r="BC33" s="1088">
        <f t="shared" si="3"/>
        <v>0</v>
      </c>
      <c r="BD33" s="1088">
        <f t="shared" si="15"/>
        <v>0</v>
      </c>
      <c r="BE33" s="1091">
        <f t="shared" si="16"/>
        <v>0</v>
      </c>
      <c r="BF33" s="1090">
        <f t="shared" si="4"/>
        <v>666532</v>
      </c>
      <c r="BG33" s="1090">
        <f t="shared" si="5"/>
        <v>666532</v>
      </c>
    </row>
    <row r="34" spans="1:60" ht="15" hidden="1" customHeight="1">
      <c r="A34" s="405" t="s">
        <v>710</v>
      </c>
      <c r="B34" s="405"/>
      <c r="C34" s="1083"/>
      <c r="D34" s="1084"/>
      <c r="E34" s="1019">
        <f t="shared" si="18"/>
        <v>0</v>
      </c>
      <c r="F34" s="1085"/>
      <c r="G34" s="1085"/>
      <c r="H34" s="1083"/>
      <c r="I34" s="1084"/>
      <c r="J34" s="1085">
        <f t="shared" si="6"/>
        <v>0</v>
      </c>
      <c r="K34" s="1085"/>
      <c r="L34" s="1085"/>
      <c r="M34" s="1083"/>
      <c r="N34" s="1084"/>
      <c r="O34" s="1019">
        <f t="shared" si="17"/>
        <v>0</v>
      </c>
      <c r="P34" s="1085"/>
      <c r="Q34" s="1085"/>
      <c r="R34" s="1083"/>
      <c r="S34" s="1084"/>
      <c r="T34" s="1085">
        <f t="shared" si="7"/>
        <v>0</v>
      </c>
      <c r="U34" s="1085"/>
      <c r="V34" s="1085"/>
      <c r="W34" s="1083"/>
      <c r="X34" s="1084"/>
      <c r="Y34" s="1085">
        <f t="shared" si="8"/>
        <v>0</v>
      </c>
      <c r="Z34" s="1085"/>
      <c r="AA34" s="1085"/>
      <c r="AB34" s="1083"/>
      <c r="AC34" s="1084"/>
      <c r="AD34" s="1019">
        <f t="shared" si="9"/>
        <v>0</v>
      </c>
      <c r="AE34" s="1085"/>
      <c r="AF34" s="1085"/>
      <c r="AG34" s="1083"/>
      <c r="AH34" s="1084"/>
      <c r="AI34" s="1019">
        <f>SUM(AG34:AH34)</f>
        <v>0</v>
      </c>
      <c r="AJ34" s="1085"/>
      <c r="AK34" s="1085"/>
      <c r="AL34" s="1083"/>
      <c r="AM34" s="1084"/>
      <c r="AN34" s="1019">
        <f>SUM(AL34:AM34)</f>
        <v>0</v>
      </c>
      <c r="AO34" s="1085"/>
      <c r="AP34" s="1085"/>
      <c r="AQ34" s="1083"/>
      <c r="AR34" s="1084"/>
      <c r="AS34" s="1085">
        <f>SUM(AQ34:AR34)</f>
        <v>0</v>
      </c>
      <c r="AT34" s="1085">
        <f t="shared" si="12"/>
        <v>0</v>
      </c>
      <c r="AU34" s="1085"/>
      <c r="AV34" s="1083"/>
      <c r="AW34" s="1084"/>
      <c r="AX34" s="1085">
        <f>SUM(AV34:AW34)</f>
        <v>0</v>
      </c>
      <c r="AY34" s="1085">
        <f t="shared" si="14"/>
        <v>0</v>
      </c>
      <c r="AZ34" s="1019"/>
      <c r="BA34" s="1019"/>
      <c r="BB34" s="1019"/>
      <c r="BC34" s="1088">
        <f t="shared" si="3"/>
        <v>0</v>
      </c>
      <c r="BD34" s="1088">
        <f t="shared" si="15"/>
        <v>0</v>
      </c>
      <c r="BE34" s="1091">
        <f t="shared" si="16"/>
        <v>0</v>
      </c>
      <c r="BF34" s="1090">
        <f t="shared" si="4"/>
        <v>0</v>
      </c>
      <c r="BG34" s="1090">
        <f t="shared" si="5"/>
        <v>0</v>
      </c>
    </row>
    <row r="35" spans="1:60" ht="15" customHeight="1">
      <c r="A35" s="405" t="s">
        <v>711</v>
      </c>
      <c r="B35" s="405"/>
      <c r="C35" s="1083"/>
      <c r="D35" s="1084"/>
      <c r="E35" s="1019">
        <f t="shared" si="18"/>
        <v>0</v>
      </c>
      <c r="F35" s="1085"/>
      <c r="G35" s="1085"/>
      <c r="H35" s="1083"/>
      <c r="I35" s="1084"/>
      <c r="J35" s="1085">
        <f t="shared" si="6"/>
        <v>0</v>
      </c>
      <c r="K35" s="1085"/>
      <c r="L35" s="1085"/>
      <c r="M35" s="1083"/>
      <c r="N35" s="1084"/>
      <c r="O35" s="1019">
        <f t="shared" si="17"/>
        <v>0</v>
      </c>
      <c r="P35" s="1085"/>
      <c r="Q35" s="1085"/>
      <c r="R35" s="1083"/>
      <c r="S35" s="1084"/>
      <c r="T35" s="1085">
        <f t="shared" si="7"/>
        <v>0</v>
      </c>
      <c r="U35" s="1085"/>
      <c r="V35" s="1085"/>
      <c r="W35" s="1083"/>
      <c r="X35" s="1084"/>
      <c r="Y35" s="1085">
        <f t="shared" si="8"/>
        <v>0</v>
      </c>
      <c r="Z35" s="1085"/>
      <c r="AA35" s="1085"/>
      <c r="AB35" s="1083"/>
      <c r="AC35" s="1084"/>
      <c r="AD35" s="1019"/>
      <c r="AE35" s="1085"/>
      <c r="AF35" s="1085"/>
      <c r="AG35" s="1083"/>
      <c r="AH35" s="1084"/>
      <c r="AI35" s="1019">
        <f>SUM(AG35:AH35)</f>
        <v>0</v>
      </c>
      <c r="AJ35" s="1085"/>
      <c r="AK35" s="1085"/>
      <c r="AL35" s="1083"/>
      <c r="AM35" s="1084"/>
      <c r="AN35" s="1019">
        <f>SUM(AL35:AM35)</f>
        <v>0</v>
      </c>
      <c r="AO35" s="1085"/>
      <c r="AP35" s="1085"/>
      <c r="AQ35" s="1083"/>
      <c r="AR35" s="1084"/>
      <c r="AS35" s="1085">
        <f>SUM(AQ35:AR35)</f>
        <v>0</v>
      </c>
      <c r="AT35" s="1085">
        <f t="shared" si="12"/>
        <v>0</v>
      </c>
      <c r="AU35" s="1085"/>
      <c r="AV35" s="1083"/>
      <c r="AW35" s="1084"/>
      <c r="AX35" s="1085">
        <f>SUM(AV35:AW35)</f>
        <v>0</v>
      </c>
      <c r="AY35" s="1085">
        <f t="shared" si="14"/>
        <v>0</v>
      </c>
      <c r="AZ35" s="1019"/>
      <c r="BA35" s="1019">
        <v>440007</v>
      </c>
      <c r="BB35" s="1019">
        <v>440007</v>
      </c>
      <c r="BC35" s="1088">
        <f t="shared" si="3"/>
        <v>0</v>
      </c>
      <c r="BD35" s="1088">
        <f t="shared" si="15"/>
        <v>0</v>
      </c>
      <c r="BE35" s="1091">
        <f t="shared" si="16"/>
        <v>0</v>
      </c>
      <c r="BF35" s="1090">
        <f t="shared" si="4"/>
        <v>440007</v>
      </c>
      <c r="BG35" s="1090">
        <f t="shared" si="5"/>
        <v>440007</v>
      </c>
    </row>
    <row r="36" spans="1:60" ht="15" hidden="1" customHeight="1">
      <c r="A36" s="405" t="s">
        <v>712</v>
      </c>
      <c r="B36" s="405"/>
      <c r="C36" s="1083"/>
      <c r="D36" s="1084"/>
      <c r="E36" s="1019">
        <f t="shared" si="18"/>
        <v>0</v>
      </c>
      <c r="F36" s="1085">
        <f>C36-B36</f>
        <v>0</v>
      </c>
      <c r="G36" s="1085"/>
      <c r="H36" s="1083"/>
      <c r="I36" s="1084"/>
      <c r="J36" s="1085">
        <f t="shared" si="6"/>
        <v>0</v>
      </c>
      <c r="K36" s="1085">
        <f>H36-G36</f>
        <v>0</v>
      </c>
      <c r="L36" s="1085"/>
      <c r="M36" s="1083"/>
      <c r="N36" s="1084"/>
      <c r="O36" s="1019">
        <f t="shared" si="17"/>
        <v>0</v>
      </c>
      <c r="P36" s="1085">
        <f>M36-L36</f>
        <v>0</v>
      </c>
      <c r="Q36" s="1085"/>
      <c r="R36" s="1083"/>
      <c r="S36" s="1084"/>
      <c r="T36" s="1085">
        <f t="shared" si="7"/>
        <v>0</v>
      </c>
      <c r="U36" s="1085">
        <f>R36-Q36</f>
        <v>0</v>
      </c>
      <c r="V36" s="1085"/>
      <c r="W36" s="1083"/>
      <c r="X36" s="1084"/>
      <c r="Y36" s="1085">
        <f t="shared" si="8"/>
        <v>0</v>
      </c>
      <c r="Z36" s="1085">
        <f>W36-V36</f>
        <v>0</v>
      </c>
      <c r="AA36" s="1085"/>
      <c r="AB36" s="1083"/>
      <c r="AC36" s="1084"/>
      <c r="AD36" s="1019">
        <f>SUM(AB36+AC36)</f>
        <v>0</v>
      </c>
      <c r="AE36" s="1085">
        <f>AB36-AA36</f>
        <v>0</v>
      </c>
      <c r="AF36" s="1085"/>
      <c r="AG36" s="1083"/>
      <c r="AH36" s="1084"/>
      <c r="AI36" s="1019">
        <f>SUM(AG36+AH36)</f>
        <v>0</v>
      </c>
      <c r="AJ36" s="1085">
        <f>AG36-AF36</f>
        <v>0</v>
      </c>
      <c r="AK36" s="1085"/>
      <c r="AL36" s="1083"/>
      <c r="AM36" s="1084"/>
      <c r="AN36" s="1019">
        <f>SUM(AL36+AM36)</f>
        <v>0</v>
      </c>
      <c r="AO36" s="1085">
        <f>AL36-AK36</f>
        <v>0</v>
      </c>
      <c r="AP36" s="1085"/>
      <c r="AQ36" s="1083"/>
      <c r="AR36" s="1084"/>
      <c r="AS36" s="1085">
        <f>SUM(AQ36+AR36)</f>
        <v>0</v>
      </c>
      <c r="AT36" s="1085">
        <f t="shared" si="12"/>
        <v>0</v>
      </c>
      <c r="AU36" s="1085"/>
      <c r="AV36" s="1083"/>
      <c r="AW36" s="1084"/>
      <c r="AX36" s="1085">
        <f>SUM(AV36+AW36)</f>
        <v>0</v>
      </c>
      <c r="AY36" s="1085">
        <f t="shared" si="14"/>
        <v>0</v>
      </c>
      <c r="AZ36" s="1019"/>
      <c r="BA36" s="1019"/>
      <c r="BB36" s="1019"/>
      <c r="BC36" s="1095">
        <f t="shared" si="3"/>
        <v>0</v>
      </c>
      <c r="BD36" s="1095">
        <f t="shared" si="15"/>
        <v>0</v>
      </c>
      <c r="BE36" s="1096">
        <f t="shared" si="16"/>
        <v>0</v>
      </c>
      <c r="BF36" s="1090">
        <f>SUM(E36+O36+AD36+AI36+AN36+BA36)</f>
        <v>0</v>
      </c>
      <c r="BG36" s="809">
        <f>BD36-BC36</f>
        <v>0</v>
      </c>
    </row>
    <row r="37" spans="1:60" ht="15" hidden="1" customHeight="1">
      <c r="A37" s="405" t="s">
        <v>713</v>
      </c>
      <c r="B37" s="405"/>
      <c r="C37" s="1083"/>
      <c r="D37" s="1084"/>
      <c r="E37" s="1019">
        <f t="shared" si="18"/>
        <v>0</v>
      </c>
      <c r="F37" s="1085"/>
      <c r="G37" s="1085"/>
      <c r="H37" s="1083"/>
      <c r="I37" s="1084"/>
      <c r="J37" s="1085">
        <f t="shared" si="6"/>
        <v>0</v>
      </c>
      <c r="K37" s="1085"/>
      <c r="L37" s="1085"/>
      <c r="M37" s="1083"/>
      <c r="N37" s="1084"/>
      <c r="O37" s="1019">
        <f t="shared" si="17"/>
        <v>0</v>
      </c>
      <c r="P37" s="1085"/>
      <c r="Q37" s="1085"/>
      <c r="R37" s="1083"/>
      <c r="S37" s="1084"/>
      <c r="T37" s="1085">
        <f t="shared" si="7"/>
        <v>0</v>
      </c>
      <c r="U37" s="1085"/>
      <c r="V37" s="1085"/>
      <c r="W37" s="1083"/>
      <c r="X37" s="1084"/>
      <c r="Y37" s="1085">
        <f t="shared" si="8"/>
        <v>0</v>
      </c>
      <c r="Z37" s="1085"/>
      <c r="AA37" s="1085"/>
      <c r="AB37" s="1083"/>
      <c r="AC37" s="1084"/>
      <c r="AD37" s="1019">
        <f>SUM(AB37+AC37)</f>
        <v>0</v>
      </c>
      <c r="AE37" s="1085"/>
      <c r="AF37" s="1085"/>
      <c r="AG37" s="1083"/>
      <c r="AH37" s="1084"/>
      <c r="AI37" s="1019">
        <f>SUM(AG37+AH37)</f>
        <v>0</v>
      </c>
      <c r="AJ37" s="1085"/>
      <c r="AK37" s="1085"/>
      <c r="AL37" s="1083"/>
      <c r="AM37" s="1084"/>
      <c r="AN37" s="1019">
        <f>SUM(AL37+AM37)</f>
        <v>0</v>
      </c>
      <c r="AO37" s="1085"/>
      <c r="AP37" s="1085"/>
      <c r="AQ37" s="1083"/>
      <c r="AR37" s="1084"/>
      <c r="AS37" s="1085">
        <f>SUM(AQ37+AR37)</f>
        <v>0</v>
      </c>
      <c r="AT37" s="1085"/>
      <c r="AU37" s="1085"/>
      <c r="AV37" s="1083"/>
      <c r="AW37" s="1084"/>
      <c r="AX37" s="1085">
        <f>SUM(AV37+AW37)</f>
        <v>0</v>
      </c>
      <c r="AY37" s="1085"/>
      <c r="AZ37" s="1019"/>
      <c r="BA37" s="1019"/>
      <c r="BB37" s="1019"/>
      <c r="BC37" s="1087"/>
      <c r="BD37" s="1095">
        <f t="shared" si="15"/>
        <v>0</v>
      </c>
      <c r="BE37" s="1097">
        <f t="shared" si="16"/>
        <v>0</v>
      </c>
      <c r="BF37" s="1090">
        <f>SUM(E37+O37+AD37+AI37+AN37+BA37)</f>
        <v>0</v>
      </c>
    </row>
    <row r="38" spans="1:60" ht="15" hidden="1" customHeight="1">
      <c r="A38" s="405" t="s">
        <v>714</v>
      </c>
      <c r="B38" s="405"/>
      <c r="C38" s="1083"/>
      <c r="D38" s="1084"/>
      <c r="E38" s="1019">
        <f t="shared" si="18"/>
        <v>0</v>
      </c>
      <c r="F38" s="1085"/>
      <c r="G38" s="1085"/>
      <c r="H38" s="1083"/>
      <c r="I38" s="1084"/>
      <c r="J38" s="1085">
        <f t="shared" si="6"/>
        <v>0</v>
      </c>
      <c r="K38" s="1085"/>
      <c r="L38" s="1085"/>
      <c r="M38" s="1083"/>
      <c r="N38" s="1084"/>
      <c r="O38" s="1019">
        <f t="shared" si="17"/>
        <v>0</v>
      </c>
      <c r="P38" s="1085"/>
      <c r="Q38" s="1085"/>
      <c r="R38" s="1083"/>
      <c r="S38" s="1084"/>
      <c r="T38" s="1085">
        <f t="shared" si="7"/>
        <v>0</v>
      </c>
      <c r="U38" s="1085"/>
      <c r="V38" s="1085"/>
      <c r="W38" s="1083"/>
      <c r="X38" s="1084"/>
      <c r="Y38" s="1085">
        <f t="shared" si="8"/>
        <v>0</v>
      </c>
      <c r="Z38" s="1085"/>
      <c r="AA38" s="1085"/>
      <c r="AB38" s="1083"/>
      <c r="AC38" s="1084"/>
      <c r="AD38" s="1019">
        <f>SUM(AB38+AC38)</f>
        <v>0</v>
      </c>
      <c r="AE38" s="1085"/>
      <c r="AF38" s="1085"/>
      <c r="AG38" s="1083"/>
      <c r="AH38" s="1084"/>
      <c r="AI38" s="1019">
        <f>SUM(AG38+AH38)</f>
        <v>0</v>
      </c>
      <c r="AJ38" s="1085"/>
      <c r="AK38" s="1085"/>
      <c r="AL38" s="1083"/>
      <c r="AM38" s="1084"/>
      <c r="AN38" s="1019">
        <f>SUM(AL38+AM38)</f>
        <v>0</v>
      </c>
      <c r="AO38" s="1085"/>
      <c r="AP38" s="1085"/>
      <c r="AQ38" s="1083"/>
      <c r="AR38" s="1084"/>
      <c r="AS38" s="1085">
        <f>SUM(AQ38+AR38)</f>
        <v>0</v>
      </c>
      <c r="AT38" s="1085"/>
      <c r="AU38" s="1085"/>
      <c r="AV38" s="1083"/>
      <c r="AW38" s="1084"/>
      <c r="AX38" s="1085">
        <f>SUM(AV38+AW38)</f>
        <v>0</v>
      </c>
      <c r="AY38" s="1085"/>
      <c r="AZ38" s="1019"/>
      <c r="BA38" s="1019"/>
      <c r="BB38" s="1019"/>
      <c r="BC38" s="1087"/>
      <c r="BD38" s="1095">
        <f t="shared" si="15"/>
        <v>0</v>
      </c>
      <c r="BE38" s="1097">
        <f t="shared" si="16"/>
        <v>0</v>
      </c>
      <c r="BF38" s="1090">
        <f>SUM(E38+O38+AD38+AI38+AN38+BA38)</f>
        <v>0</v>
      </c>
    </row>
    <row r="39" spans="1:60" s="961" customFormat="1" ht="15" customHeight="1">
      <c r="A39" s="966" t="s">
        <v>715</v>
      </c>
      <c r="B39" s="1023">
        <f t="shared" ref="B39:AG39" si="19">SUM(B22:B38)</f>
        <v>1346427851</v>
      </c>
      <c r="C39" s="1023">
        <f t="shared" si="19"/>
        <v>1363019931</v>
      </c>
      <c r="D39" s="1023">
        <f t="shared" si="19"/>
        <v>2016858</v>
      </c>
      <c r="E39" s="1023">
        <f t="shared" si="19"/>
        <v>1393451603</v>
      </c>
      <c r="F39" s="1023">
        <f t="shared" si="19"/>
        <v>1203955996</v>
      </c>
      <c r="G39" s="1023">
        <f t="shared" si="19"/>
        <v>0</v>
      </c>
      <c r="H39" s="1023">
        <f t="shared" si="19"/>
        <v>0</v>
      </c>
      <c r="I39" s="1023">
        <f t="shared" si="19"/>
        <v>0</v>
      </c>
      <c r="J39" s="1023">
        <f t="shared" si="19"/>
        <v>0</v>
      </c>
      <c r="K39" s="1023">
        <f t="shared" si="19"/>
        <v>0</v>
      </c>
      <c r="L39" s="1023">
        <f t="shared" si="19"/>
        <v>401235000</v>
      </c>
      <c r="M39" s="1023">
        <f t="shared" si="19"/>
        <v>401235000</v>
      </c>
      <c r="N39" s="1023">
        <f t="shared" si="19"/>
        <v>-167000</v>
      </c>
      <c r="O39" s="1023">
        <f t="shared" si="19"/>
        <v>402888411</v>
      </c>
      <c r="P39" s="1023">
        <f t="shared" si="19"/>
        <v>290554189</v>
      </c>
      <c r="Q39" s="1023">
        <f t="shared" si="19"/>
        <v>0</v>
      </c>
      <c r="R39" s="1023">
        <f t="shared" si="19"/>
        <v>0</v>
      </c>
      <c r="S39" s="1023">
        <f t="shared" si="19"/>
        <v>0</v>
      </c>
      <c r="T39" s="1023">
        <f t="shared" si="19"/>
        <v>0</v>
      </c>
      <c r="U39" s="1023">
        <f t="shared" si="19"/>
        <v>0</v>
      </c>
      <c r="V39" s="1023">
        <f t="shared" si="19"/>
        <v>0</v>
      </c>
      <c r="W39" s="1023">
        <f t="shared" si="19"/>
        <v>0</v>
      </c>
      <c r="X39" s="1023">
        <f t="shared" si="19"/>
        <v>0</v>
      </c>
      <c r="Y39" s="1023">
        <f t="shared" si="19"/>
        <v>0</v>
      </c>
      <c r="Z39" s="1023">
        <f t="shared" si="19"/>
        <v>0</v>
      </c>
      <c r="AA39" s="1023">
        <f t="shared" si="19"/>
        <v>15725000</v>
      </c>
      <c r="AB39" s="1023">
        <f t="shared" si="19"/>
        <v>15725000</v>
      </c>
      <c r="AC39" s="1023">
        <f t="shared" si="19"/>
        <v>0</v>
      </c>
      <c r="AD39" s="1023">
        <f t="shared" si="19"/>
        <v>15725000</v>
      </c>
      <c r="AE39" s="1023">
        <f t="shared" si="19"/>
        <v>9432435</v>
      </c>
      <c r="AF39" s="1023">
        <f t="shared" si="19"/>
        <v>143000</v>
      </c>
      <c r="AG39" s="1023">
        <f t="shared" si="19"/>
        <v>143000</v>
      </c>
      <c r="AH39" s="1023">
        <f t="shared" ref="AH39:AY39" si="20">SUM(AH22:AH38)</f>
        <v>0</v>
      </c>
      <c r="AI39" s="1023">
        <f t="shared" si="20"/>
        <v>143000</v>
      </c>
      <c r="AJ39" s="1023">
        <f t="shared" si="20"/>
        <v>51345</v>
      </c>
      <c r="AK39" s="1023">
        <f t="shared" si="20"/>
        <v>60644000</v>
      </c>
      <c r="AL39" s="1023">
        <f t="shared" si="20"/>
        <v>60644000</v>
      </c>
      <c r="AM39" s="1023">
        <f t="shared" si="20"/>
        <v>0</v>
      </c>
      <c r="AN39" s="1023">
        <f t="shared" si="20"/>
        <v>55642065</v>
      </c>
      <c r="AO39" s="1023">
        <f t="shared" si="20"/>
        <v>43637131</v>
      </c>
      <c r="AP39" s="1023">
        <f t="shared" si="20"/>
        <v>0</v>
      </c>
      <c r="AQ39" s="1023">
        <f t="shared" si="20"/>
        <v>0</v>
      </c>
      <c r="AR39" s="1023">
        <f t="shared" si="20"/>
        <v>0</v>
      </c>
      <c r="AS39" s="1023">
        <f t="shared" si="20"/>
        <v>0</v>
      </c>
      <c r="AT39" s="1023">
        <f t="shared" si="20"/>
        <v>0</v>
      </c>
      <c r="AU39" s="1023">
        <f t="shared" si="20"/>
        <v>0</v>
      </c>
      <c r="AV39" s="1023">
        <f t="shared" si="20"/>
        <v>0</v>
      </c>
      <c r="AW39" s="1023">
        <f t="shared" si="20"/>
        <v>0</v>
      </c>
      <c r="AX39" s="1023">
        <f t="shared" si="20"/>
        <v>0</v>
      </c>
      <c r="AY39" s="1023">
        <f t="shared" si="20"/>
        <v>0</v>
      </c>
      <c r="AZ39" s="1023"/>
      <c r="BA39" s="1023">
        <f t="shared" ref="BA39:BG39" si="21">SUM(BA22:BA38)</f>
        <v>34481577</v>
      </c>
      <c r="BB39" s="1023">
        <f t="shared" si="21"/>
        <v>34064380</v>
      </c>
      <c r="BC39" s="1023">
        <f t="shared" si="21"/>
        <v>1824174851</v>
      </c>
      <c r="BD39" s="1023">
        <f t="shared" si="21"/>
        <v>1840766931</v>
      </c>
      <c r="BE39" s="1031">
        <f t="shared" si="21"/>
        <v>1849858</v>
      </c>
      <c r="BF39" s="1663">
        <f t="shared" si="21"/>
        <v>1902331656</v>
      </c>
      <c r="BG39" s="1663">
        <f t="shared" si="21"/>
        <v>1581695476</v>
      </c>
      <c r="BH39" s="809"/>
    </row>
    <row r="40" spans="1:60" ht="15" customHeight="1">
      <c r="A40" s="630" t="s">
        <v>26</v>
      </c>
      <c r="B40" s="1083"/>
      <c r="C40" s="1083"/>
      <c r="D40" s="1084"/>
      <c r="E40" s="1099">
        <f t="shared" ref="E40:E48" si="22">SUM(C40+D40)</f>
        <v>0</v>
      </c>
      <c r="F40" s="1085"/>
      <c r="G40" s="1100"/>
      <c r="H40" s="1083"/>
      <c r="I40" s="1084"/>
      <c r="J40" s="1100">
        <f t="shared" ref="J40:J48" si="23">SUM(H40+I40)</f>
        <v>0</v>
      </c>
      <c r="K40" s="1085"/>
      <c r="L40" s="1100">
        <v>79709000</v>
      </c>
      <c r="M40" s="1083">
        <v>85043000</v>
      </c>
      <c r="N40" s="1084">
        <v>167000</v>
      </c>
      <c r="O40" s="1099">
        <f t="shared" ref="O40:O48" si="24">SUM(M40+N40)</f>
        <v>85210000</v>
      </c>
      <c r="P40" s="1085">
        <f>31977224+36884638</f>
        <v>68861862</v>
      </c>
      <c r="Q40" s="1100"/>
      <c r="R40" s="1083"/>
      <c r="S40" s="1084"/>
      <c r="T40" s="1100">
        <f t="shared" ref="T40:T48" si="25">SUM(R40+S40)</f>
        <v>0</v>
      </c>
      <c r="U40" s="1085"/>
      <c r="V40" s="1100"/>
      <c r="W40" s="1083"/>
      <c r="X40" s="1084"/>
      <c r="Y40" s="1100">
        <f t="shared" ref="Y40:Y48" si="26">SUM(W40+X40)</f>
        <v>0</v>
      </c>
      <c r="Z40" s="1100"/>
      <c r="AA40" s="1100"/>
      <c r="AB40" s="1083"/>
      <c r="AC40" s="1084"/>
      <c r="AD40" s="1099">
        <f t="shared" ref="AD40:AD48" si="27">SUM(AB40+AC40)</f>
        <v>0</v>
      </c>
      <c r="AE40" s="1085"/>
      <c r="AF40" s="1100"/>
      <c r="AG40" s="1094"/>
      <c r="AH40" s="1084"/>
      <c r="AI40" s="1099">
        <f t="shared" ref="AI40:AI48" si="28">SUM(AG40+AH40)</f>
        <v>0</v>
      </c>
      <c r="AJ40" s="1085"/>
      <c r="AK40" s="1100"/>
      <c r="AL40" s="1094"/>
      <c r="AM40" s="1084"/>
      <c r="AN40" s="1099">
        <f t="shared" ref="AN40:AN48" si="29">SUM(AL40+AM40)</f>
        <v>0</v>
      </c>
      <c r="AO40" s="1085"/>
      <c r="AP40" s="1100"/>
      <c r="AQ40" s="1094"/>
      <c r="AR40" s="1084"/>
      <c r="AS40" s="1100">
        <f t="shared" ref="AS40:AS48" si="30">SUM(AQ40+AR40)</f>
        <v>0</v>
      </c>
      <c r="AT40" s="1085">
        <f t="shared" ref="AT40:AT46" si="31">AQ40-AP40</f>
        <v>0</v>
      </c>
      <c r="AU40" s="1100"/>
      <c r="AV40" s="1094"/>
      <c r="AW40" s="1084"/>
      <c r="AX40" s="1100">
        <f t="shared" ref="AX40:AX48" si="32">SUM(AV40+AW40)</f>
        <v>0</v>
      </c>
      <c r="AY40" s="1085">
        <f t="shared" ref="AY40:AY46" si="33">AV40-AU40</f>
        <v>0</v>
      </c>
      <c r="AZ40" s="1019"/>
      <c r="BA40" s="1019">
        <v>182388</v>
      </c>
      <c r="BB40" s="1019">
        <v>182388</v>
      </c>
      <c r="BC40" s="1088">
        <f t="shared" ref="BC40:BE46" si="34">B40+G40+L40+Q40+V40+AA40+AF40+AK40+AP40+AU40</f>
        <v>79709000</v>
      </c>
      <c r="BD40" s="1088">
        <f t="shared" si="34"/>
        <v>85043000</v>
      </c>
      <c r="BE40" s="1091">
        <f t="shared" si="34"/>
        <v>167000</v>
      </c>
      <c r="BF40" s="1090">
        <f t="shared" ref="BF40:BG46" si="35">SUM(E40+O40+AD40+AI40+AN40+BA40)</f>
        <v>85392388</v>
      </c>
      <c r="BG40" s="1090">
        <f t="shared" si="35"/>
        <v>69044250</v>
      </c>
    </row>
    <row r="41" spans="1:60" ht="15" customHeight="1">
      <c r="A41" s="630" t="s">
        <v>28</v>
      </c>
      <c r="B41" s="1083"/>
      <c r="C41" s="1083"/>
      <c r="D41" s="1084"/>
      <c r="E41" s="1099">
        <f t="shared" si="22"/>
        <v>0</v>
      </c>
      <c r="F41" s="1085"/>
      <c r="G41" s="1100"/>
      <c r="H41" s="1083"/>
      <c r="I41" s="1084"/>
      <c r="J41" s="1100">
        <f t="shared" si="23"/>
        <v>0</v>
      </c>
      <c r="K41" s="1085"/>
      <c r="L41" s="1100">
        <v>17945000</v>
      </c>
      <c r="M41" s="1083">
        <v>36868000</v>
      </c>
      <c r="N41" s="1084"/>
      <c r="O41" s="1099">
        <f t="shared" si="24"/>
        <v>36868000</v>
      </c>
      <c r="P41" s="1085">
        <v>34714277</v>
      </c>
      <c r="Q41" s="1100"/>
      <c r="R41" s="1083"/>
      <c r="S41" s="1084"/>
      <c r="T41" s="1100">
        <f t="shared" si="25"/>
        <v>0</v>
      </c>
      <c r="U41" s="1085"/>
      <c r="V41" s="1100"/>
      <c r="W41" s="1083"/>
      <c r="X41" s="1084"/>
      <c r="Y41" s="1100">
        <f t="shared" si="26"/>
        <v>0</v>
      </c>
      <c r="Z41" s="1100"/>
      <c r="AA41" s="1100"/>
      <c r="AB41" s="1083"/>
      <c r="AC41" s="1084"/>
      <c r="AD41" s="1099">
        <f t="shared" si="27"/>
        <v>0</v>
      </c>
      <c r="AE41" s="1085"/>
      <c r="AF41" s="1100"/>
      <c r="AG41" s="1094"/>
      <c r="AH41" s="1084"/>
      <c r="AI41" s="1099">
        <f t="shared" si="28"/>
        <v>0</v>
      </c>
      <c r="AJ41" s="1085"/>
      <c r="AK41" s="1100"/>
      <c r="AL41" s="1094"/>
      <c r="AM41" s="1084"/>
      <c r="AN41" s="1099">
        <f t="shared" si="29"/>
        <v>0</v>
      </c>
      <c r="AO41" s="1085"/>
      <c r="AP41" s="1100"/>
      <c r="AQ41" s="1094"/>
      <c r="AR41" s="1084"/>
      <c r="AS41" s="1100">
        <f t="shared" si="30"/>
        <v>0</v>
      </c>
      <c r="AT41" s="1085">
        <f t="shared" si="31"/>
        <v>0</v>
      </c>
      <c r="AU41" s="1100"/>
      <c r="AV41" s="1094"/>
      <c r="AW41" s="1084"/>
      <c r="AX41" s="1100">
        <f t="shared" si="32"/>
        <v>0</v>
      </c>
      <c r="AY41" s="1085">
        <f t="shared" si="33"/>
        <v>0</v>
      </c>
      <c r="AZ41" s="1019"/>
      <c r="BA41" s="1019">
        <v>0</v>
      </c>
      <c r="BB41" s="1019"/>
      <c r="BC41" s="1088">
        <f t="shared" si="34"/>
        <v>17945000</v>
      </c>
      <c r="BD41" s="1088">
        <f t="shared" si="34"/>
        <v>36868000</v>
      </c>
      <c r="BE41" s="1091">
        <f t="shared" si="34"/>
        <v>0</v>
      </c>
      <c r="BF41" s="1090">
        <f t="shared" si="35"/>
        <v>36868000</v>
      </c>
      <c r="BG41" s="1090">
        <f t="shared" si="35"/>
        <v>34714277</v>
      </c>
    </row>
    <row r="42" spans="1:60" ht="15" hidden="1" customHeight="1">
      <c r="A42" s="630" t="s">
        <v>30</v>
      </c>
      <c r="B42" s="1083"/>
      <c r="C42" s="1083"/>
      <c r="D42" s="1084"/>
      <c r="E42" s="1099">
        <f t="shared" si="22"/>
        <v>0</v>
      </c>
      <c r="F42" s="1085"/>
      <c r="G42" s="1100"/>
      <c r="H42" s="1083"/>
      <c r="I42" s="1084"/>
      <c r="J42" s="1100">
        <f t="shared" si="23"/>
        <v>0</v>
      </c>
      <c r="K42" s="1085"/>
      <c r="L42" s="1100"/>
      <c r="M42" s="1083"/>
      <c r="N42" s="1084"/>
      <c r="O42" s="1099">
        <f t="shared" si="24"/>
        <v>0</v>
      </c>
      <c r="P42" s="1085"/>
      <c r="Q42" s="1100"/>
      <c r="R42" s="1083"/>
      <c r="S42" s="1084"/>
      <c r="T42" s="1100">
        <f t="shared" si="25"/>
        <v>0</v>
      </c>
      <c r="U42" s="1085"/>
      <c r="V42" s="1100"/>
      <c r="W42" s="1083"/>
      <c r="X42" s="1084"/>
      <c r="Y42" s="1100">
        <f t="shared" si="26"/>
        <v>0</v>
      </c>
      <c r="Z42" s="1100"/>
      <c r="AA42" s="1100"/>
      <c r="AB42" s="1083"/>
      <c r="AC42" s="1084"/>
      <c r="AD42" s="1099">
        <f t="shared" si="27"/>
        <v>0</v>
      </c>
      <c r="AE42" s="1085"/>
      <c r="AF42" s="1100"/>
      <c r="AG42" s="1094"/>
      <c r="AH42" s="1084"/>
      <c r="AI42" s="1099">
        <f t="shared" si="28"/>
        <v>0</v>
      </c>
      <c r="AJ42" s="1085"/>
      <c r="AK42" s="1100"/>
      <c r="AL42" s="1094"/>
      <c r="AM42" s="1084"/>
      <c r="AN42" s="1099">
        <f t="shared" si="29"/>
        <v>0</v>
      </c>
      <c r="AO42" s="1085"/>
      <c r="AP42" s="1100"/>
      <c r="AQ42" s="1094"/>
      <c r="AR42" s="1084"/>
      <c r="AS42" s="1100">
        <f t="shared" si="30"/>
        <v>0</v>
      </c>
      <c r="AT42" s="1085">
        <f t="shared" si="31"/>
        <v>0</v>
      </c>
      <c r="AU42" s="1100"/>
      <c r="AV42" s="1094"/>
      <c r="AW42" s="1084"/>
      <c r="AX42" s="1100">
        <f t="shared" si="32"/>
        <v>0</v>
      </c>
      <c r="AY42" s="1085">
        <f t="shared" si="33"/>
        <v>0</v>
      </c>
      <c r="AZ42" s="1019"/>
      <c r="BA42" s="1019"/>
      <c r="BB42" s="1019"/>
      <c r="BC42" s="1088">
        <f t="shared" si="34"/>
        <v>0</v>
      </c>
      <c r="BD42" s="1088">
        <f t="shared" si="34"/>
        <v>0</v>
      </c>
      <c r="BE42" s="1091">
        <f t="shared" si="34"/>
        <v>0</v>
      </c>
      <c r="BF42" s="1090">
        <f t="shared" si="35"/>
        <v>0</v>
      </c>
      <c r="BG42" s="1090">
        <f t="shared" si="35"/>
        <v>0</v>
      </c>
    </row>
    <row r="43" spans="1:60" ht="15" customHeight="1">
      <c r="A43" s="405" t="s">
        <v>716</v>
      </c>
      <c r="B43" s="1083"/>
      <c r="C43" s="1083"/>
      <c r="D43" s="1084"/>
      <c r="E43" s="1099">
        <f t="shared" si="22"/>
        <v>0</v>
      </c>
      <c r="F43" s="1085"/>
      <c r="G43" s="1100"/>
      <c r="H43" s="1083"/>
      <c r="I43" s="1084"/>
      <c r="J43" s="1100">
        <f t="shared" si="23"/>
        <v>0</v>
      </c>
      <c r="K43" s="1085"/>
      <c r="L43" s="1100"/>
      <c r="M43" s="1083"/>
      <c r="N43" s="1084"/>
      <c r="O43" s="1099">
        <f t="shared" si="24"/>
        <v>0</v>
      </c>
      <c r="P43" s="1085"/>
      <c r="Q43" s="1100"/>
      <c r="R43" s="1083"/>
      <c r="S43" s="1084"/>
      <c r="T43" s="1100">
        <f t="shared" si="25"/>
        <v>0</v>
      </c>
      <c r="U43" s="1085"/>
      <c r="V43" s="1100"/>
      <c r="W43" s="1083"/>
      <c r="X43" s="1084"/>
      <c r="Y43" s="1100">
        <f t="shared" si="26"/>
        <v>0</v>
      </c>
      <c r="Z43" s="1100"/>
      <c r="AA43" s="1100"/>
      <c r="AB43" s="1083"/>
      <c r="AC43" s="1084"/>
      <c r="AD43" s="1099">
        <f t="shared" si="27"/>
        <v>0</v>
      </c>
      <c r="AE43" s="1085"/>
      <c r="AF43" s="1100"/>
      <c r="AG43" s="1094"/>
      <c r="AH43" s="1084"/>
      <c r="AI43" s="1099">
        <f t="shared" si="28"/>
        <v>0</v>
      </c>
      <c r="AJ43" s="1085"/>
      <c r="AK43" s="1100"/>
      <c r="AL43" s="1094"/>
      <c r="AM43" s="1084"/>
      <c r="AN43" s="1099">
        <f t="shared" si="29"/>
        <v>0</v>
      </c>
      <c r="AO43" s="1085"/>
      <c r="AP43" s="1100"/>
      <c r="AQ43" s="1094"/>
      <c r="AR43" s="1084"/>
      <c r="AS43" s="1100">
        <f t="shared" si="30"/>
        <v>0</v>
      </c>
      <c r="AT43" s="1085">
        <f t="shared" si="31"/>
        <v>0</v>
      </c>
      <c r="AU43" s="1100"/>
      <c r="AV43" s="1094"/>
      <c r="AW43" s="1084"/>
      <c r="AX43" s="1100">
        <f t="shared" si="32"/>
        <v>0</v>
      </c>
      <c r="AY43" s="1085">
        <f t="shared" si="33"/>
        <v>0</v>
      </c>
      <c r="AZ43" s="1019"/>
      <c r="BA43" s="1019">
        <v>0</v>
      </c>
      <c r="BB43" s="1019"/>
      <c r="BC43" s="1088">
        <f t="shared" si="34"/>
        <v>0</v>
      </c>
      <c r="BD43" s="1088">
        <f t="shared" si="34"/>
        <v>0</v>
      </c>
      <c r="BE43" s="1091">
        <f t="shared" si="34"/>
        <v>0</v>
      </c>
      <c r="BF43" s="1090">
        <f t="shared" si="35"/>
        <v>0</v>
      </c>
      <c r="BG43" s="1090">
        <f t="shared" si="35"/>
        <v>0</v>
      </c>
    </row>
    <row r="44" spans="1:60" ht="15" hidden="1" customHeight="1">
      <c r="A44" s="405" t="s">
        <v>717</v>
      </c>
      <c r="B44" s="1083"/>
      <c r="C44" s="1083"/>
      <c r="D44" s="1084"/>
      <c r="E44" s="1099">
        <f t="shared" si="22"/>
        <v>0</v>
      </c>
      <c r="F44" s="1085"/>
      <c r="G44" s="1100"/>
      <c r="H44" s="1083"/>
      <c r="I44" s="1084"/>
      <c r="J44" s="1100">
        <f t="shared" si="23"/>
        <v>0</v>
      </c>
      <c r="K44" s="1085"/>
      <c r="L44" s="1100"/>
      <c r="M44" s="1083"/>
      <c r="N44" s="1084"/>
      <c r="O44" s="1099">
        <f t="shared" si="24"/>
        <v>0</v>
      </c>
      <c r="P44" s="1085"/>
      <c r="Q44" s="1100"/>
      <c r="R44" s="1083"/>
      <c r="S44" s="1084"/>
      <c r="T44" s="1100">
        <f t="shared" si="25"/>
        <v>0</v>
      </c>
      <c r="U44" s="1085"/>
      <c r="V44" s="1100"/>
      <c r="W44" s="1083"/>
      <c r="X44" s="1084"/>
      <c r="Y44" s="1100">
        <f t="shared" si="26"/>
        <v>0</v>
      </c>
      <c r="Z44" s="1100"/>
      <c r="AA44" s="1100"/>
      <c r="AB44" s="1083"/>
      <c r="AC44" s="1084"/>
      <c r="AD44" s="1099">
        <f t="shared" si="27"/>
        <v>0</v>
      </c>
      <c r="AE44" s="1085"/>
      <c r="AF44" s="1100"/>
      <c r="AG44" s="1094"/>
      <c r="AH44" s="1084"/>
      <c r="AI44" s="1099">
        <f t="shared" si="28"/>
        <v>0</v>
      </c>
      <c r="AJ44" s="1085"/>
      <c r="AK44" s="1100"/>
      <c r="AL44" s="1094"/>
      <c r="AM44" s="1084"/>
      <c r="AN44" s="1099">
        <f t="shared" si="29"/>
        <v>0</v>
      </c>
      <c r="AO44" s="1085"/>
      <c r="AP44" s="1100"/>
      <c r="AQ44" s="1094"/>
      <c r="AR44" s="1084"/>
      <c r="AS44" s="1100">
        <f t="shared" si="30"/>
        <v>0</v>
      </c>
      <c r="AT44" s="1085">
        <f t="shared" si="31"/>
        <v>0</v>
      </c>
      <c r="AU44" s="1100"/>
      <c r="AV44" s="1094"/>
      <c r="AW44" s="1084"/>
      <c r="AX44" s="1100">
        <f t="shared" si="32"/>
        <v>0</v>
      </c>
      <c r="AY44" s="1085">
        <f t="shared" si="33"/>
        <v>0</v>
      </c>
      <c r="AZ44" s="1019"/>
      <c r="BA44" s="1019"/>
      <c r="BB44" s="1019"/>
      <c r="BC44" s="1088">
        <f t="shared" si="34"/>
        <v>0</v>
      </c>
      <c r="BD44" s="1088">
        <f t="shared" si="34"/>
        <v>0</v>
      </c>
      <c r="BE44" s="1091">
        <f t="shared" si="34"/>
        <v>0</v>
      </c>
      <c r="BF44" s="1090">
        <f t="shared" si="35"/>
        <v>0</v>
      </c>
      <c r="BG44" s="1090">
        <f t="shared" si="35"/>
        <v>0</v>
      </c>
    </row>
    <row r="45" spans="1:60" ht="15" customHeight="1">
      <c r="A45" s="405" t="s">
        <v>718</v>
      </c>
      <c r="B45" s="1083"/>
      <c r="C45" s="1083"/>
      <c r="D45" s="1084"/>
      <c r="E45" s="1099">
        <f t="shared" si="22"/>
        <v>0</v>
      </c>
      <c r="F45" s="1085"/>
      <c r="G45" s="1100"/>
      <c r="H45" s="1083"/>
      <c r="I45" s="1084"/>
      <c r="J45" s="1100">
        <f t="shared" si="23"/>
        <v>0</v>
      </c>
      <c r="K45" s="1085"/>
      <c r="L45" s="1100"/>
      <c r="M45" s="1083"/>
      <c r="N45" s="1084"/>
      <c r="O45" s="1099">
        <f t="shared" si="24"/>
        <v>0</v>
      </c>
      <c r="P45" s="1085"/>
      <c r="Q45" s="1100"/>
      <c r="R45" s="1083"/>
      <c r="S45" s="1084"/>
      <c r="T45" s="1100">
        <f t="shared" si="25"/>
        <v>0</v>
      </c>
      <c r="U45" s="1085"/>
      <c r="V45" s="1100"/>
      <c r="W45" s="1083"/>
      <c r="X45" s="1084"/>
      <c r="Y45" s="1100">
        <f t="shared" si="26"/>
        <v>0</v>
      </c>
      <c r="Z45" s="1100"/>
      <c r="AA45" s="1100"/>
      <c r="AB45" s="1083"/>
      <c r="AC45" s="1084"/>
      <c r="AD45" s="1099">
        <f t="shared" si="27"/>
        <v>0</v>
      </c>
      <c r="AE45" s="1085"/>
      <c r="AF45" s="1100"/>
      <c r="AG45" s="1083"/>
      <c r="AH45" s="1084"/>
      <c r="AI45" s="1099">
        <f t="shared" si="28"/>
        <v>0</v>
      </c>
      <c r="AJ45" s="1085"/>
      <c r="AK45" s="1100"/>
      <c r="AL45" s="1083"/>
      <c r="AM45" s="1084"/>
      <c r="AN45" s="1099">
        <f t="shared" si="29"/>
        <v>0</v>
      </c>
      <c r="AO45" s="1085"/>
      <c r="AP45" s="1100"/>
      <c r="AQ45" s="1083"/>
      <c r="AR45" s="1084"/>
      <c r="AS45" s="1100">
        <f t="shared" si="30"/>
        <v>0</v>
      </c>
      <c r="AT45" s="1085">
        <f t="shared" si="31"/>
        <v>0</v>
      </c>
      <c r="AU45" s="1100"/>
      <c r="AV45" s="1083"/>
      <c r="AW45" s="1084"/>
      <c r="AX45" s="1100">
        <f t="shared" si="32"/>
        <v>0</v>
      </c>
      <c r="AY45" s="1085">
        <f t="shared" si="33"/>
        <v>0</v>
      </c>
      <c r="AZ45" s="1019"/>
      <c r="BA45" s="1019">
        <v>0</v>
      </c>
      <c r="BB45" s="1019"/>
      <c r="BC45" s="1088">
        <f t="shared" si="34"/>
        <v>0</v>
      </c>
      <c r="BD45" s="1088">
        <f t="shared" si="34"/>
        <v>0</v>
      </c>
      <c r="BE45" s="1091">
        <f t="shared" si="34"/>
        <v>0</v>
      </c>
      <c r="BF45" s="1090">
        <f t="shared" si="35"/>
        <v>0</v>
      </c>
      <c r="BG45" s="1090">
        <f t="shared" si="35"/>
        <v>0</v>
      </c>
    </row>
    <row r="46" spans="1:60" ht="15" customHeight="1">
      <c r="A46" s="405" t="s">
        <v>719</v>
      </c>
      <c r="B46" s="1083"/>
      <c r="C46" s="1083"/>
      <c r="D46" s="1084"/>
      <c r="E46" s="1099">
        <f t="shared" si="22"/>
        <v>0</v>
      </c>
      <c r="F46" s="1085"/>
      <c r="G46" s="1100"/>
      <c r="H46" s="1083"/>
      <c r="I46" s="1084"/>
      <c r="J46" s="1100">
        <f t="shared" si="23"/>
        <v>0</v>
      </c>
      <c r="K46" s="1085"/>
      <c r="L46" s="1100"/>
      <c r="M46" s="1083"/>
      <c r="N46" s="1084"/>
      <c r="O46" s="1099">
        <f t="shared" si="24"/>
        <v>0</v>
      </c>
      <c r="P46" s="1085"/>
      <c r="Q46" s="1100"/>
      <c r="R46" s="1083"/>
      <c r="S46" s="1084"/>
      <c r="T46" s="1100">
        <f t="shared" si="25"/>
        <v>0</v>
      </c>
      <c r="U46" s="1085"/>
      <c r="V46" s="1100"/>
      <c r="W46" s="1083"/>
      <c r="X46" s="1084"/>
      <c r="Y46" s="1100">
        <f t="shared" si="26"/>
        <v>0</v>
      </c>
      <c r="Z46" s="1100"/>
      <c r="AA46" s="1100"/>
      <c r="AB46" s="1083"/>
      <c r="AC46" s="1084"/>
      <c r="AD46" s="1099">
        <f t="shared" si="27"/>
        <v>0</v>
      </c>
      <c r="AE46" s="1085"/>
      <c r="AF46" s="1100"/>
      <c r="AG46" s="1083"/>
      <c r="AH46" s="1084"/>
      <c r="AI46" s="1099">
        <f t="shared" si="28"/>
        <v>0</v>
      </c>
      <c r="AJ46" s="1085"/>
      <c r="AK46" s="1100"/>
      <c r="AL46" s="1083"/>
      <c r="AM46" s="1084"/>
      <c r="AN46" s="1099">
        <f t="shared" si="29"/>
        <v>0</v>
      </c>
      <c r="AO46" s="1085"/>
      <c r="AP46" s="1100"/>
      <c r="AQ46" s="1083"/>
      <c r="AR46" s="1084"/>
      <c r="AS46" s="1100">
        <f t="shared" si="30"/>
        <v>0</v>
      </c>
      <c r="AT46" s="1085">
        <f t="shared" si="31"/>
        <v>0</v>
      </c>
      <c r="AU46" s="1100"/>
      <c r="AV46" s="1083"/>
      <c r="AW46" s="1084"/>
      <c r="AX46" s="1100">
        <f t="shared" si="32"/>
        <v>0</v>
      </c>
      <c r="AY46" s="1085">
        <f t="shared" si="33"/>
        <v>0</v>
      </c>
      <c r="AZ46" s="1019"/>
      <c r="BA46" s="1019">
        <v>0</v>
      </c>
      <c r="BB46" s="1019"/>
      <c r="BC46" s="1088">
        <f t="shared" si="34"/>
        <v>0</v>
      </c>
      <c r="BD46" s="1088">
        <f t="shared" si="34"/>
        <v>0</v>
      </c>
      <c r="BE46" s="1091">
        <f t="shared" si="34"/>
        <v>0</v>
      </c>
      <c r="BF46" s="1090">
        <f t="shared" si="35"/>
        <v>0</v>
      </c>
      <c r="BG46" s="1090">
        <f t="shared" si="35"/>
        <v>0</v>
      </c>
    </row>
    <row r="47" spans="1:60" ht="15" hidden="1" customHeight="1">
      <c r="A47" s="455" t="s">
        <v>720</v>
      </c>
      <c r="B47" s="1083"/>
      <c r="C47" s="1083"/>
      <c r="D47" s="1084"/>
      <c r="E47" s="1099">
        <f t="shared" si="22"/>
        <v>0</v>
      </c>
      <c r="F47" s="1100"/>
      <c r="G47" s="1100"/>
      <c r="H47" s="1083"/>
      <c r="I47" s="1084"/>
      <c r="J47" s="1100">
        <f t="shared" si="23"/>
        <v>0</v>
      </c>
      <c r="K47" s="1100"/>
      <c r="L47" s="1100"/>
      <c r="M47" s="1083"/>
      <c r="N47" s="1084"/>
      <c r="O47" s="1099">
        <f t="shared" si="24"/>
        <v>0</v>
      </c>
      <c r="P47" s="1100"/>
      <c r="Q47" s="1100"/>
      <c r="R47" s="1083"/>
      <c r="S47" s="1084"/>
      <c r="T47" s="1100">
        <f t="shared" si="25"/>
        <v>0</v>
      </c>
      <c r="U47" s="1100"/>
      <c r="V47" s="1100"/>
      <c r="W47" s="1083"/>
      <c r="X47" s="1084"/>
      <c r="Y47" s="1100">
        <f t="shared" si="26"/>
        <v>0</v>
      </c>
      <c r="Z47" s="1100"/>
      <c r="AA47" s="1100"/>
      <c r="AB47" s="1083"/>
      <c r="AC47" s="1084"/>
      <c r="AD47" s="1099">
        <f t="shared" si="27"/>
        <v>0</v>
      </c>
      <c r="AE47" s="1100"/>
      <c r="AF47" s="1100"/>
      <c r="AG47" s="1083"/>
      <c r="AH47" s="1084"/>
      <c r="AI47" s="1099">
        <f t="shared" si="28"/>
        <v>0</v>
      </c>
      <c r="AJ47" s="1100"/>
      <c r="AK47" s="1100"/>
      <c r="AL47" s="1083"/>
      <c r="AM47" s="1084"/>
      <c r="AN47" s="1099">
        <f t="shared" si="29"/>
        <v>0</v>
      </c>
      <c r="AO47" s="1100"/>
      <c r="AP47" s="1100"/>
      <c r="AQ47" s="1083"/>
      <c r="AR47" s="1084"/>
      <c r="AS47" s="1100">
        <f t="shared" si="30"/>
        <v>0</v>
      </c>
      <c r="AT47" s="1100"/>
      <c r="AU47" s="1100"/>
      <c r="AV47" s="1083"/>
      <c r="AW47" s="1084"/>
      <c r="AX47" s="1100">
        <f t="shared" si="32"/>
        <v>0</v>
      </c>
      <c r="AY47" s="1100"/>
      <c r="AZ47" s="1099"/>
      <c r="BA47" s="1099"/>
      <c r="BB47" s="1099"/>
      <c r="BC47" s="1020"/>
      <c r="BD47" s="1088">
        <f>C47+H47+M47+R47+W47+AB47+AG47+AL47+AQ47+AV47</f>
        <v>0</v>
      </c>
      <c r="BE47" s="1089">
        <f>D47+I47+N47+S47+X47+AC47+AH47+AM47+AR47+AW47</f>
        <v>0</v>
      </c>
      <c r="BF47" s="1090">
        <f t="shared" ref="BF47:BF78" si="36">SUM(E47+O47+AD47+AI47+AN47+BA47)</f>
        <v>0</v>
      </c>
      <c r="BG47" s="435"/>
    </row>
    <row r="48" spans="1:60" ht="15" hidden="1" customHeight="1">
      <c r="A48" s="455" t="s">
        <v>721</v>
      </c>
      <c r="B48" s="1101"/>
      <c r="C48" s="1101"/>
      <c r="D48" s="1084"/>
      <c r="E48" s="1099">
        <f t="shared" si="22"/>
        <v>0</v>
      </c>
      <c r="F48" s="1100"/>
      <c r="G48" s="1100"/>
      <c r="H48" s="1101"/>
      <c r="I48" s="1084"/>
      <c r="J48" s="1100">
        <f t="shared" si="23"/>
        <v>0</v>
      </c>
      <c r="K48" s="1100"/>
      <c r="L48" s="1100"/>
      <c r="M48" s="1101"/>
      <c r="N48" s="1084"/>
      <c r="O48" s="1099">
        <f t="shared" si="24"/>
        <v>0</v>
      </c>
      <c r="P48" s="1100"/>
      <c r="Q48" s="1100"/>
      <c r="R48" s="1101"/>
      <c r="S48" s="1084"/>
      <c r="T48" s="1100">
        <f t="shared" si="25"/>
        <v>0</v>
      </c>
      <c r="U48" s="1100"/>
      <c r="V48" s="1100"/>
      <c r="W48" s="1101"/>
      <c r="X48" s="1084"/>
      <c r="Y48" s="1100">
        <f t="shared" si="26"/>
        <v>0</v>
      </c>
      <c r="Z48" s="1100"/>
      <c r="AA48" s="1100"/>
      <c r="AB48" s="1101"/>
      <c r="AC48" s="1084"/>
      <c r="AD48" s="1099">
        <f t="shared" si="27"/>
        <v>0</v>
      </c>
      <c r="AE48" s="1100"/>
      <c r="AF48" s="1100"/>
      <c r="AG48" s="1101"/>
      <c r="AH48" s="1084"/>
      <c r="AI48" s="1099">
        <f t="shared" si="28"/>
        <v>0</v>
      </c>
      <c r="AJ48" s="1100"/>
      <c r="AK48" s="1100"/>
      <c r="AL48" s="1101"/>
      <c r="AM48" s="1084"/>
      <c r="AN48" s="1099">
        <f t="shared" si="29"/>
        <v>0</v>
      </c>
      <c r="AO48" s="1100"/>
      <c r="AP48" s="1100"/>
      <c r="AQ48" s="1101"/>
      <c r="AR48" s="1084"/>
      <c r="AS48" s="1100">
        <f t="shared" si="30"/>
        <v>0</v>
      </c>
      <c r="AT48" s="1100"/>
      <c r="AU48" s="1100"/>
      <c r="AV48" s="1101"/>
      <c r="AW48" s="1084"/>
      <c r="AX48" s="1100">
        <f t="shared" si="32"/>
        <v>0</v>
      </c>
      <c r="AY48" s="1100"/>
      <c r="AZ48" s="1099"/>
      <c r="BA48" s="1099"/>
      <c r="BB48" s="1099"/>
      <c r="BC48" s="1020"/>
      <c r="BD48" s="1088">
        <f>C48+H48+M48+R48+W48+AB48+AG48+AL48+AQ48+AV48</f>
        <v>0</v>
      </c>
      <c r="BE48" s="1089">
        <f>D48+I48+N48+S48+X48+AC48+AH48+AM48+AR48+AW48</f>
        <v>0</v>
      </c>
      <c r="BF48" s="1090">
        <f t="shared" si="36"/>
        <v>0</v>
      </c>
      <c r="BG48" s="1102"/>
    </row>
    <row r="49" spans="1:61" s="961" customFormat="1" ht="15" customHeight="1">
      <c r="A49" s="1022" t="s">
        <v>722</v>
      </c>
      <c r="B49" s="1023">
        <f t="shared" ref="B49:AG49" si="37">SUM(B40:B48)</f>
        <v>0</v>
      </c>
      <c r="C49" s="1023">
        <f t="shared" si="37"/>
        <v>0</v>
      </c>
      <c r="D49" s="1023">
        <f t="shared" si="37"/>
        <v>0</v>
      </c>
      <c r="E49" s="1023">
        <f t="shared" si="37"/>
        <v>0</v>
      </c>
      <c r="F49" s="1023">
        <f t="shared" si="37"/>
        <v>0</v>
      </c>
      <c r="G49" s="1023">
        <f t="shared" si="37"/>
        <v>0</v>
      </c>
      <c r="H49" s="1023">
        <f t="shared" si="37"/>
        <v>0</v>
      </c>
      <c r="I49" s="1023">
        <f t="shared" si="37"/>
        <v>0</v>
      </c>
      <c r="J49" s="1023">
        <f t="shared" si="37"/>
        <v>0</v>
      </c>
      <c r="K49" s="1023">
        <f t="shared" si="37"/>
        <v>0</v>
      </c>
      <c r="L49" s="1023">
        <f t="shared" si="37"/>
        <v>97654000</v>
      </c>
      <c r="M49" s="1023">
        <f t="shared" si="37"/>
        <v>121911000</v>
      </c>
      <c r="N49" s="1023">
        <f t="shared" si="37"/>
        <v>167000</v>
      </c>
      <c r="O49" s="1023">
        <f t="shared" si="37"/>
        <v>122078000</v>
      </c>
      <c r="P49" s="1023">
        <f t="shared" si="37"/>
        <v>103576139</v>
      </c>
      <c r="Q49" s="1023">
        <f t="shared" si="37"/>
        <v>0</v>
      </c>
      <c r="R49" s="1023">
        <f t="shared" si="37"/>
        <v>0</v>
      </c>
      <c r="S49" s="1023">
        <f t="shared" si="37"/>
        <v>0</v>
      </c>
      <c r="T49" s="1023">
        <f t="shared" si="37"/>
        <v>0</v>
      </c>
      <c r="U49" s="1023">
        <f t="shared" si="37"/>
        <v>0</v>
      </c>
      <c r="V49" s="1023">
        <f t="shared" si="37"/>
        <v>0</v>
      </c>
      <c r="W49" s="1023">
        <f t="shared" si="37"/>
        <v>0</v>
      </c>
      <c r="X49" s="1023">
        <f t="shared" si="37"/>
        <v>0</v>
      </c>
      <c r="Y49" s="1023">
        <f t="shared" si="37"/>
        <v>0</v>
      </c>
      <c r="Z49" s="1023">
        <f t="shared" si="37"/>
        <v>0</v>
      </c>
      <c r="AA49" s="1023">
        <f t="shared" si="37"/>
        <v>0</v>
      </c>
      <c r="AB49" s="1023">
        <f t="shared" si="37"/>
        <v>0</v>
      </c>
      <c r="AC49" s="1023">
        <f t="shared" si="37"/>
        <v>0</v>
      </c>
      <c r="AD49" s="1023">
        <f t="shared" si="37"/>
        <v>0</v>
      </c>
      <c r="AE49" s="1023">
        <f t="shared" si="37"/>
        <v>0</v>
      </c>
      <c r="AF49" s="1023">
        <f t="shared" si="37"/>
        <v>0</v>
      </c>
      <c r="AG49" s="1023">
        <f t="shared" si="37"/>
        <v>0</v>
      </c>
      <c r="AH49" s="1023">
        <f t="shared" ref="AH49:AY49" si="38">SUM(AH40:AH48)</f>
        <v>0</v>
      </c>
      <c r="AI49" s="1023">
        <f t="shared" si="38"/>
        <v>0</v>
      </c>
      <c r="AJ49" s="1023">
        <f t="shared" si="38"/>
        <v>0</v>
      </c>
      <c r="AK49" s="1023">
        <f t="shared" si="38"/>
        <v>0</v>
      </c>
      <c r="AL49" s="1023">
        <f t="shared" si="38"/>
        <v>0</v>
      </c>
      <c r="AM49" s="1023">
        <f t="shared" si="38"/>
        <v>0</v>
      </c>
      <c r="AN49" s="1023">
        <f t="shared" si="38"/>
        <v>0</v>
      </c>
      <c r="AO49" s="1023">
        <f t="shared" si="38"/>
        <v>0</v>
      </c>
      <c r="AP49" s="1098">
        <f t="shared" si="38"/>
        <v>0</v>
      </c>
      <c r="AQ49" s="1098">
        <f t="shared" si="38"/>
        <v>0</v>
      </c>
      <c r="AR49" s="1098">
        <f t="shared" si="38"/>
        <v>0</v>
      </c>
      <c r="AS49" s="1098">
        <f t="shared" si="38"/>
        <v>0</v>
      </c>
      <c r="AT49" s="1098">
        <f t="shared" si="38"/>
        <v>0</v>
      </c>
      <c r="AU49" s="1098">
        <f t="shared" si="38"/>
        <v>0</v>
      </c>
      <c r="AV49" s="1098">
        <f t="shared" si="38"/>
        <v>0</v>
      </c>
      <c r="AW49" s="1098">
        <f t="shared" si="38"/>
        <v>0</v>
      </c>
      <c r="AX49" s="1098">
        <f t="shared" si="38"/>
        <v>0</v>
      </c>
      <c r="AY49" s="1098">
        <f t="shared" si="38"/>
        <v>0</v>
      </c>
      <c r="AZ49" s="1023"/>
      <c r="BA49" s="1023">
        <f>SUM(BA40:BA48)</f>
        <v>182388</v>
      </c>
      <c r="BB49" s="1023">
        <f>SUM(BB40:BB48)</f>
        <v>182388</v>
      </c>
      <c r="BC49" s="1023">
        <f>SUM(BC40:BC48)</f>
        <v>97654000</v>
      </c>
      <c r="BD49" s="1023">
        <f>SUM(BD40:BD48)</f>
        <v>121911000</v>
      </c>
      <c r="BE49" s="1031">
        <f>SUM(BE40:BE48)</f>
        <v>167000</v>
      </c>
      <c r="BF49" s="1663">
        <f t="shared" si="36"/>
        <v>122260388</v>
      </c>
      <c r="BG49" s="1663">
        <f>SUM(F49+P49+AE49+AJ49+AO49+BB49)</f>
        <v>103758527</v>
      </c>
      <c r="BH49" s="809"/>
    </row>
    <row r="50" spans="1:61" s="961" customFormat="1" ht="15" customHeight="1">
      <c r="A50" s="966" t="s">
        <v>723</v>
      </c>
      <c r="B50" s="1024">
        <f t="shared" ref="B50:AG50" si="39">B49+B39</f>
        <v>1346427851</v>
      </c>
      <c r="C50" s="1024">
        <f t="shared" si="39"/>
        <v>1363019931</v>
      </c>
      <c r="D50" s="1024">
        <f t="shared" si="39"/>
        <v>2016858</v>
      </c>
      <c r="E50" s="1023">
        <f t="shared" si="39"/>
        <v>1393451603</v>
      </c>
      <c r="F50" s="1024">
        <f t="shared" si="39"/>
        <v>1203955996</v>
      </c>
      <c r="G50" s="1024">
        <f t="shared" si="39"/>
        <v>0</v>
      </c>
      <c r="H50" s="1024">
        <f t="shared" si="39"/>
        <v>0</v>
      </c>
      <c r="I50" s="1024">
        <f t="shared" si="39"/>
        <v>0</v>
      </c>
      <c r="J50" s="1024">
        <f t="shared" si="39"/>
        <v>0</v>
      </c>
      <c r="K50" s="1024">
        <f t="shared" si="39"/>
        <v>0</v>
      </c>
      <c r="L50" s="1024">
        <f t="shared" si="39"/>
        <v>498889000</v>
      </c>
      <c r="M50" s="1024">
        <f t="shared" si="39"/>
        <v>523146000</v>
      </c>
      <c r="N50" s="1024">
        <f t="shared" si="39"/>
        <v>0</v>
      </c>
      <c r="O50" s="1023">
        <f t="shared" si="39"/>
        <v>524966411</v>
      </c>
      <c r="P50" s="1024">
        <f t="shared" si="39"/>
        <v>394130328</v>
      </c>
      <c r="Q50" s="1024">
        <f t="shared" si="39"/>
        <v>0</v>
      </c>
      <c r="R50" s="1024">
        <f t="shared" si="39"/>
        <v>0</v>
      </c>
      <c r="S50" s="1024">
        <f t="shared" si="39"/>
        <v>0</v>
      </c>
      <c r="T50" s="1024">
        <f t="shared" si="39"/>
        <v>0</v>
      </c>
      <c r="U50" s="1024">
        <f t="shared" si="39"/>
        <v>0</v>
      </c>
      <c r="V50" s="1024">
        <f t="shared" si="39"/>
        <v>0</v>
      </c>
      <c r="W50" s="1024">
        <f t="shared" si="39"/>
        <v>0</v>
      </c>
      <c r="X50" s="1024">
        <f t="shared" si="39"/>
        <v>0</v>
      </c>
      <c r="Y50" s="1024">
        <f t="shared" si="39"/>
        <v>0</v>
      </c>
      <c r="Z50" s="1024">
        <f t="shared" si="39"/>
        <v>0</v>
      </c>
      <c r="AA50" s="1024">
        <f t="shared" si="39"/>
        <v>15725000</v>
      </c>
      <c r="AB50" s="1024">
        <f t="shared" si="39"/>
        <v>15725000</v>
      </c>
      <c r="AC50" s="1024">
        <f t="shared" si="39"/>
        <v>0</v>
      </c>
      <c r="AD50" s="1023">
        <f t="shared" si="39"/>
        <v>15725000</v>
      </c>
      <c r="AE50" s="1024">
        <f t="shared" si="39"/>
        <v>9432435</v>
      </c>
      <c r="AF50" s="1024">
        <f t="shared" si="39"/>
        <v>143000</v>
      </c>
      <c r="AG50" s="1024">
        <f t="shared" si="39"/>
        <v>143000</v>
      </c>
      <c r="AH50" s="1024">
        <f t="shared" ref="AH50:AY50" si="40">AH49+AH39</f>
        <v>0</v>
      </c>
      <c r="AI50" s="1023">
        <f t="shared" si="40"/>
        <v>143000</v>
      </c>
      <c r="AJ50" s="1024">
        <f t="shared" si="40"/>
        <v>51345</v>
      </c>
      <c r="AK50" s="1024">
        <f t="shared" si="40"/>
        <v>60644000</v>
      </c>
      <c r="AL50" s="1024">
        <f t="shared" si="40"/>
        <v>60644000</v>
      </c>
      <c r="AM50" s="1024">
        <f t="shared" si="40"/>
        <v>0</v>
      </c>
      <c r="AN50" s="1023">
        <f t="shared" si="40"/>
        <v>55642065</v>
      </c>
      <c r="AO50" s="1023">
        <f t="shared" si="40"/>
        <v>43637131</v>
      </c>
      <c r="AP50" s="1098">
        <f t="shared" si="40"/>
        <v>0</v>
      </c>
      <c r="AQ50" s="1098">
        <f t="shared" si="40"/>
        <v>0</v>
      </c>
      <c r="AR50" s="1098">
        <f t="shared" si="40"/>
        <v>0</v>
      </c>
      <c r="AS50" s="1098">
        <f t="shared" si="40"/>
        <v>0</v>
      </c>
      <c r="AT50" s="1098">
        <f t="shared" si="40"/>
        <v>0</v>
      </c>
      <c r="AU50" s="1098">
        <f t="shared" si="40"/>
        <v>0</v>
      </c>
      <c r="AV50" s="1098">
        <f t="shared" si="40"/>
        <v>0</v>
      </c>
      <c r="AW50" s="1098">
        <f t="shared" si="40"/>
        <v>0</v>
      </c>
      <c r="AX50" s="1098">
        <f t="shared" si="40"/>
        <v>0</v>
      </c>
      <c r="AY50" s="1098">
        <f t="shared" si="40"/>
        <v>0</v>
      </c>
      <c r="AZ50" s="1023"/>
      <c r="BA50" s="1023">
        <f>BA49+BA39</f>
        <v>34663965</v>
      </c>
      <c r="BB50" s="1023">
        <f>BB49+BB39</f>
        <v>34246768</v>
      </c>
      <c r="BC50" s="1024">
        <f>BC49+BC39</f>
        <v>1921828851</v>
      </c>
      <c r="BD50" s="1024">
        <f>BD49+BD39</f>
        <v>1962677931</v>
      </c>
      <c r="BE50" s="1664">
        <f>BE49+BE39</f>
        <v>2016858</v>
      </c>
      <c r="BF50" s="1663">
        <f t="shared" si="36"/>
        <v>2024592044</v>
      </c>
      <c r="BG50" s="1663">
        <f>SUM(F50+P50+AE50+AJ50+AO50+BB50)</f>
        <v>1685454003</v>
      </c>
      <c r="BH50" s="809"/>
    </row>
    <row r="51" spans="1:61" ht="15" hidden="1" customHeight="1">
      <c r="A51" s="405" t="s">
        <v>724</v>
      </c>
      <c r="B51" s="1083"/>
      <c r="C51" s="1083"/>
      <c r="D51" s="1084"/>
      <c r="E51" s="1099">
        <f t="shared" ref="E51:E63" si="41">SUM(C51+D51)</f>
        <v>0</v>
      </c>
      <c r="F51" s="1100"/>
      <c r="G51" s="1100"/>
      <c r="H51" s="1083"/>
      <c r="I51" s="1009"/>
      <c r="J51" s="1100">
        <f t="shared" ref="J51:J63" si="42">SUM(H51+I51)</f>
        <v>0</v>
      </c>
      <c r="K51" s="1100"/>
      <c r="L51" s="1100"/>
      <c r="M51" s="1083"/>
      <c r="N51" s="1009"/>
      <c r="O51" s="1099">
        <f t="shared" ref="O51:O63" si="43">SUM(M51+N51)</f>
        <v>0</v>
      </c>
      <c r="P51" s="1100"/>
      <c r="Q51" s="1100"/>
      <c r="R51" s="1083"/>
      <c r="S51" s="1009"/>
      <c r="T51" s="1100">
        <f t="shared" ref="T51:T63" si="44">SUM(R51+S51)</f>
        <v>0</v>
      </c>
      <c r="U51" s="1100"/>
      <c r="V51" s="1100"/>
      <c r="W51" s="1083"/>
      <c r="X51" s="1084"/>
      <c r="Y51" s="1100">
        <f t="shared" ref="Y51:Y63" si="45">SUM(W51+X51)</f>
        <v>0</v>
      </c>
      <c r="Z51" s="1100"/>
      <c r="AA51" s="1100"/>
      <c r="AB51" s="1083"/>
      <c r="AC51" s="1084"/>
      <c r="AD51" s="1099">
        <f t="shared" ref="AD51:AD63" si="46">SUM(AB51+AC51)</f>
        <v>0</v>
      </c>
      <c r="AE51" s="1100"/>
      <c r="AF51" s="1100"/>
      <c r="AG51" s="1083"/>
      <c r="AH51" s="1084"/>
      <c r="AI51" s="1099">
        <f t="shared" ref="AI51:AI63" si="47">SUM(AG51+AH51)</f>
        <v>0</v>
      </c>
      <c r="AJ51" s="1100"/>
      <c r="AK51" s="1100"/>
      <c r="AL51" s="1083"/>
      <c r="AM51" s="1084"/>
      <c r="AN51" s="1099">
        <f t="shared" ref="AN51:AN63" si="48">SUM(AL51+AM51)</f>
        <v>0</v>
      </c>
      <c r="AO51" s="1099"/>
      <c r="AP51" s="1100"/>
      <c r="AQ51" s="1083"/>
      <c r="AR51" s="1084"/>
      <c r="AS51" s="1100">
        <f t="shared" ref="AS51:AS63" si="49">SUM(AQ51+AR51)</f>
        <v>0</v>
      </c>
      <c r="AT51" s="1100"/>
      <c r="AU51" s="1100"/>
      <c r="AV51" s="1083"/>
      <c r="AW51" s="1084"/>
      <c r="AX51" s="1100">
        <f t="shared" ref="AX51:AX63" si="50">SUM(AV51+AW51)</f>
        <v>0</v>
      </c>
      <c r="AY51" s="1100"/>
      <c r="AZ51" s="1099"/>
      <c r="BA51" s="1099"/>
      <c r="BB51" s="1099"/>
      <c r="BC51" s="1020"/>
      <c r="BD51" s="1088">
        <f t="shared" ref="BD51:BD63" si="51">C51+H51+M51+R51+W51+AB51+AG51+AL51+AQ51+AV51</f>
        <v>0</v>
      </c>
      <c r="BE51" s="1089">
        <f t="shared" ref="BE51:BE63" si="52">D51+I51+N51+S51+X51+AC51+AH51+AM51+AR51+AW51</f>
        <v>0</v>
      </c>
      <c r="BF51" s="1090">
        <f t="shared" si="36"/>
        <v>0</v>
      </c>
      <c r="BG51" s="1102"/>
    </row>
    <row r="52" spans="1:61" ht="15" hidden="1" customHeight="1">
      <c r="A52" s="405" t="s">
        <v>725</v>
      </c>
      <c r="B52" s="1083"/>
      <c r="C52" s="1083"/>
      <c r="D52" s="1084"/>
      <c r="E52" s="1099">
        <f t="shared" si="41"/>
        <v>0</v>
      </c>
      <c r="F52" s="1100"/>
      <c r="G52" s="1100"/>
      <c r="H52" s="1083"/>
      <c r="I52" s="1084"/>
      <c r="J52" s="1100">
        <f t="shared" si="42"/>
        <v>0</v>
      </c>
      <c r="K52" s="1100"/>
      <c r="L52" s="1100"/>
      <c r="M52" s="1083"/>
      <c r="N52" s="1084"/>
      <c r="O52" s="1099">
        <f t="shared" si="43"/>
        <v>0</v>
      </c>
      <c r="P52" s="1100"/>
      <c r="Q52" s="1100"/>
      <c r="R52" s="1083"/>
      <c r="S52" s="1084"/>
      <c r="T52" s="1100">
        <f t="shared" si="44"/>
        <v>0</v>
      </c>
      <c r="U52" s="1100"/>
      <c r="V52" s="1100"/>
      <c r="W52" s="1083"/>
      <c r="X52" s="1084"/>
      <c r="Y52" s="1100">
        <f t="shared" si="45"/>
        <v>0</v>
      </c>
      <c r="Z52" s="1100"/>
      <c r="AA52" s="1100"/>
      <c r="AB52" s="1083"/>
      <c r="AC52" s="1084"/>
      <c r="AD52" s="1099">
        <f t="shared" si="46"/>
        <v>0</v>
      </c>
      <c r="AE52" s="1100"/>
      <c r="AF52" s="1100"/>
      <c r="AG52" s="1083"/>
      <c r="AH52" s="1084"/>
      <c r="AI52" s="1099">
        <f t="shared" si="47"/>
        <v>0</v>
      </c>
      <c r="AJ52" s="1100"/>
      <c r="AK52" s="1100"/>
      <c r="AL52" s="1083"/>
      <c r="AM52" s="1084"/>
      <c r="AN52" s="1099">
        <f t="shared" si="48"/>
        <v>0</v>
      </c>
      <c r="AO52" s="1099"/>
      <c r="AP52" s="1100"/>
      <c r="AQ52" s="1083"/>
      <c r="AR52" s="1084"/>
      <c r="AS52" s="1100">
        <f t="shared" si="49"/>
        <v>0</v>
      </c>
      <c r="AT52" s="1100"/>
      <c r="AU52" s="1100"/>
      <c r="AV52" s="1083"/>
      <c r="AW52" s="1084"/>
      <c r="AX52" s="1100">
        <f t="shared" si="50"/>
        <v>0</v>
      </c>
      <c r="AY52" s="1100"/>
      <c r="AZ52" s="1099"/>
      <c r="BA52" s="1099"/>
      <c r="BB52" s="1099"/>
      <c r="BC52" s="1020"/>
      <c r="BD52" s="1088">
        <f t="shared" si="51"/>
        <v>0</v>
      </c>
      <c r="BE52" s="1089">
        <f t="shared" si="52"/>
        <v>0</v>
      </c>
      <c r="BF52" s="1090">
        <f t="shared" si="36"/>
        <v>0</v>
      </c>
      <c r="BG52" s="1102"/>
    </row>
    <row r="53" spans="1:61" ht="15" hidden="1" customHeight="1">
      <c r="A53" s="405" t="s">
        <v>726</v>
      </c>
      <c r="B53" s="1083"/>
      <c r="C53" s="1083"/>
      <c r="D53" s="1084"/>
      <c r="E53" s="1099">
        <f t="shared" si="41"/>
        <v>0</v>
      </c>
      <c r="F53" s="1100"/>
      <c r="G53" s="1100"/>
      <c r="H53" s="1083"/>
      <c r="I53" s="1084"/>
      <c r="J53" s="1100">
        <f t="shared" si="42"/>
        <v>0</v>
      </c>
      <c r="K53" s="1100"/>
      <c r="L53" s="1100"/>
      <c r="M53" s="1083"/>
      <c r="N53" s="1084"/>
      <c r="O53" s="1099">
        <f t="shared" si="43"/>
        <v>0</v>
      </c>
      <c r="P53" s="1100"/>
      <c r="Q53" s="1100"/>
      <c r="R53" s="1083"/>
      <c r="S53" s="1084"/>
      <c r="T53" s="1100">
        <f t="shared" si="44"/>
        <v>0</v>
      </c>
      <c r="U53" s="1100"/>
      <c r="V53" s="1100"/>
      <c r="W53" s="1083"/>
      <c r="X53" s="1084"/>
      <c r="Y53" s="1100">
        <f t="shared" si="45"/>
        <v>0</v>
      </c>
      <c r="Z53" s="1100"/>
      <c r="AA53" s="1100"/>
      <c r="AB53" s="1083"/>
      <c r="AC53" s="1084"/>
      <c r="AD53" s="1099">
        <f t="shared" si="46"/>
        <v>0</v>
      </c>
      <c r="AE53" s="1100"/>
      <c r="AF53" s="1100"/>
      <c r="AG53" s="1083"/>
      <c r="AH53" s="1084"/>
      <c r="AI53" s="1099">
        <f t="shared" si="47"/>
        <v>0</v>
      </c>
      <c r="AJ53" s="1100"/>
      <c r="AK53" s="1100"/>
      <c r="AL53" s="1083"/>
      <c r="AM53" s="1084"/>
      <c r="AN53" s="1099">
        <f t="shared" si="48"/>
        <v>0</v>
      </c>
      <c r="AO53" s="1099"/>
      <c r="AP53" s="1100"/>
      <c r="AQ53" s="1083"/>
      <c r="AR53" s="1084"/>
      <c r="AS53" s="1100">
        <f t="shared" si="49"/>
        <v>0</v>
      </c>
      <c r="AT53" s="1100"/>
      <c r="AU53" s="1100"/>
      <c r="AV53" s="1083"/>
      <c r="AW53" s="1084"/>
      <c r="AX53" s="1100">
        <f t="shared" si="50"/>
        <v>0</v>
      </c>
      <c r="AY53" s="1100"/>
      <c r="AZ53" s="1099"/>
      <c r="BA53" s="1099"/>
      <c r="BB53" s="1099"/>
      <c r="BC53" s="1020"/>
      <c r="BD53" s="1088">
        <f t="shared" si="51"/>
        <v>0</v>
      </c>
      <c r="BE53" s="1089">
        <f t="shared" si="52"/>
        <v>0</v>
      </c>
      <c r="BF53" s="1090">
        <f t="shared" si="36"/>
        <v>0</v>
      </c>
      <c r="BG53" s="1102"/>
    </row>
    <row r="54" spans="1:61" ht="15" hidden="1" customHeight="1">
      <c r="A54" s="405" t="s">
        <v>727</v>
      </c>
      <c r="B54" s="1083"/>
      <c r="C54" s="1083"/>
      <c r="D54" s="1084"/>
      <c r="E54" s="1099">
        <f t="shared" si="41"/>
        <v>0</v>
      </c>
      <c r="F54" s="1100"/>
      <c r="G54" s="1100"/>
      <c r="H54" s="1083"/>
      <c r="I54" s="1084"/>
      <c r="J54" s="1100">
        <f t="shared" si="42"/>
        <v>0</v>
      </c>
      <c r="K54" s="1100"/>
      <c r="L54" s="1100"/>
      <c r="M54" s="1083"/>
      <c r="N54" s="1084"/>
      <c r="O54" s="1099">
        <f t="shared" si="43"/>
        <v>0</v>
      </c>
      <c r="P54" s="1100"/>
      <c r="Q54" s="1100"/>
      <c r="R54" s="1083"/>
      <c r="S54" s="1084"/>
      <c r="T54" s="1100">
        <f t="shared" si="44"/>
        <v>0</v>
      </c>
      <c r="U54" s="1100"/>
      <c r="V54" s="1100"/>
      <c r="W54" s="1083"/>
      <c r="X54" s="1084"/>
      <c r="Y54" s="1100">
        <f t="shared" si="45"/>
        <v>0</v>
      </c>
      <c r="Z54" s="1100"/>
      <c r="AA54" s="1100"/>
      <c r="AB54" s="1083"/>
      <c r="AC54" s="1084"/>
      <c r="AD54" s="1099">
        <f t="shared" si="46"/>
        <v>0</v>
      </c>
      <c r="AE54" s="1100"/>
      <c r="AF54" s="1100"/>
      <c r="AG54" s="1083"/>
      <c r="AH54" s="1084"/>
      <c r="AI54" s="1099">
        <f t="shared" si="47"/>
        <v>0</v>
      </c>
      <c r="AJ54" s="1100"/>
      <c r="AK54" s="1100"/>
      <c r="AL54" s="1083"/>
      <c r="AM54" s="1084"/>
      <c r="AN54" s="1099">
        <f t="shared" si="48"/>
        <v>0</v>
      </c>
      <c r="AO54" s="1099"/>
      <c r="AP54" s="1100"/>
      <c r="AQ54" s="1083"/>
      <c r="AR54" s="1084"/>
      <c r="AS54" s="1100">
        <f t="shared" si="49"/>
        <v>0</v>
      </c>
      <c r="AT54" s="1100"/>
      <c r="AU54" s="1100"/>
      <c r="AV54" s="1083"/>
      <c r="AW54" s="1084"/>
      <c r="AX54" s="1100">
        <f t="shared" si="50"/>
        <v>0</v>
      </c>
      <c r="AY54" s="1100"/>
      <c r="AZ54" s="1099"/>
      <c r="BA54" s="1099"/>
      <c r="BB54" s="1099"/>
      <c r="BC54" s="1020"/>
      <c r="BD54" s="1088">
        <f t="shared" si="51"/>
        <v>0</v>
      </c>
      <c r="BE54" s="1089">
        <f t="shared" si="52"/>
        <v>0</v>
      </c>
      <c r="BF54" s="1090">
        <f t="shared" si="36"/>
        <v>0</v>
      </c>
      <c r="BG54" s="435"/>
    </row>
    <row r="55" spans="1:61" ht="15" hidden="1" customHeight="1">
      <c r="A55" s="405" t="s">
        <v>728</v>
      </c>
      <c r="B55" s="1083"/>
      <c r="C55" s="1083"/>
      <c r="D55" s="1084"/>
      <c r="E55" s="1099">
        <f t="shared" si="41"/>
        <v>0</v>
      </c>
      <c r="F55" s="1100"/>
      <c r="G55" s="1100"/>
      <c r="H55" s="1083"/>
      <c r="I55" s="1009"/>
      <c r="J55" s="1100">
        <f t="shared" si="42"/>
        <v>0</v>
      </c>
      <c r="K55" s="1100"/>
      <c r="L55" s="1100"/>
      <c r="M55" s="1083"/>
      <c r="N55" s="1009"/>
      <c r="O55" s="1099">
        <f t="shared" si="43"/>
        <v>0</v>
      </c>
      <c r="P55" s="1100"/>
      <c r="Q55" s="1100"/>
      <c r="R55" s="1083"/>
      <c r="S55" s="1009"/>
      <c r="T55" s="1100">
        <f t="shared" si="44"/>
        <v>0</v>
      </c>
      <c r="U55" s="1100"/>
      <c r="V55" s="1100"/>
      <c r="W55" s="1083"/>
      <c r="X55" s="1084"/>
      <c r="Y55" s="1100">
        <f t="shared" si="45"/>
        <v>0</v>
      </c>
      <c r="Z55" s="1100"/>
      <c r="AA55" s="1100"/>
      <c r="AB55" s="1083"/>
      <c r="AC55" s="1084"/>
      <c r="AD55" s="1099">
        <f t="shared" si="46"/>
        <v>0</v>
      </c>
      <c r="AE55" s="1100"/>
      <c r="AF55" s="1100"/>
      <c r="AG55" s="1083"/>
      <c r="AH55" s="1084"/>
      <c r="AI55" s="1099">
        <f t="shared" si="47"/>
        <v>0</v>
      </c>
      <c r="AJ55" s="1100"/>
      <c r="AK55" s="1100"/>
      <c r="AL55" s="1083"/>
      <c r="AM55" s="1084"/>
      <c r="AN55" s="1099">
        <f t="shared" si="48"/>
        <v>0</v>
      </c>
      <c r="AO55" s="1099"/>
      <c r="AP55" s="1100"/>
      <c r="AQ55" s="1083"/>
      <c r="AR55" s="1084"/>
      <c r="AS55" s="1100">
        <f t="shared" si="49"/>
        <v>0</v>
      </c>
      <c r="AT55" s="1100"/>
      <c r="AU55" s="1100"/>
      <c r="AV55" s="1083"/>
      <c r="AW55" s="1084"/>
      <c r="AX55" s="1100">
        <f t="shared" si="50"/>
        <v>0</v>
      </c>
      <c r="AY55" s="1100"/>
      <c r="AZ55" s="1099"/>
      <c r="BA55" s="1099"/>
      <c r="BB55" s="1099"/>
      <c r="BC55" s="1020"/>
      <c r="BD55" s="1088">
        <f t="shared" si="51"/>
        <v>0</v>
      </c>
      <c r="BE55" s="1089">
        <f t="shared" si="52"/>
        <v>0</v>
      </c>
      <c r="BF55" s="1090">
        <f t="shared" si="36"/>
        <v>0</v>
      </c>
      <c r="BG55" s="1102"/>
    </row>
    <row r="56" spans="1:61" ht="15" hidden="1" customHeight="1">
      <c r="A56" s="405" t="s">
        <v>729</v>
      </c>
      <c r="B56" s="1083"/>
      <c r="C56" s="1083"/>
      <c r="D56" s="1084"/>
      <c r="E56" s="1099">
        <f t="shared" si="41"/>
        <v>0</v>
      </c>
      <c r="F56" s="1100"/>
      <c r="G56" s="1100"/>
      <c r="H56" s="1083"/>
      <c r="I56" s="1009"/>
      <c r="J56" s="1100">
        <f t="shared" si="42"/>
        <v>0</v>
      </c>
      <c r="K56" s="1100"/>
      <c r="L56" s="1100"/>
      <c r="M56" s="1083"/>
      <c r="N56" s="1009"/>
      <c r="O56" s="1099">
        <f t="shared" si="43"/>
        <v>0</v>
      </c>
      <c r="P56" s="1100"/>
      <c r="Q56" s="1100"/>
      <c r="R56" s="1083"/>
      <c r="S56" s="1009"/>
      <c r="T56" s="1100">
        <f t="shared" si="44"/>
        <v>0</v>
      </c>
      <c r="U56" s="1100"/>
      <c r="V56" s="1100"/>
      <c r="W56" s="1083"/>
      <c r="X56" s="1084"/>
      <c r="Y56" s="1100">
        <f t="shared" si="45"/>
        <v>0</v>
      </c>
      <c r="Z56" s="1100"/>
      <c r="AA56" s="1100"/>
      <c r="AB56" s="1083"/>
      <c r="AC56" s="1084"/>
      <c r="AD56" s="1099">
        <f t="shared" si="46"/>
        <v>0</v>
      </c>
      <c r="AE56" s="1100"/>
      <c r="AF56" s="1100"/>
      <c r="AG56" s="1083"/>
      <c r="AH56" s="1084"/>
      <c r="AI56" s="1099">
        <f t="shared" si="47"/>
        <v>0</v>
      </c>
      <c r="AJ56" s="1100"/>
      <c r="AK56" s="1100"/>
      <c r="AL56" s="1083"/>
      <c r="AM56" s="1084"/>
      <c r="AN56" s="1099">
        <f t="shared" si="48"/>
        <v>0</v>
      </c>
      <c r="AO56" s="1099"/>
      <c r="AP56" s="1100"/>
      <c r="AQ56" s="1083"/>
      <c r="AR56" s="1084"/>
      <c r="AS56" s="1100">
        <f t="shared" si="49"/>
        <v>0</v>
      </c>
      <c r="AT56" s="1100"/>
      <c r="AU56" s="1100"/>
      <c r="AV56" s="1083"/>
      <c r="AW56" s="1084"/>
      <c r="AX56" s="1100">
        <f t="shared" si="50"/>
        <v>0</v>
      </c>
      <c r="AY56" s="1100"/>
      <c r="AZ56" s="1099"/>
      <c r="BA56" s="1099"/>
      <c r="BB56" s="1099"/>
      <c r="BC56" s="1020"/>
      <c r="BD56" s="1088">
        <f t="shared" si="51"/>
        <v>0</v>
      </c>
      <c r="BE56" s="1089">
        <f t="shared" si="52"/>
        <v>0</v>
      </c>
      <c r="BF56" s="1090">
        <f t="shared" si="36"/>
        <v>0</v>
      </c>
      <c r="BG56" s="1102"/>
    </row>
    <row r="57" spans="1:61" ht="15" hidden="1" customHeight="1">
      <c r="A57" s="405" t="s">
        <v>730</v>
      </c>
      <c r="B57" s="1083"/>
      <c r="C57" s="1083"/>
      <c r="D57" s="1084"/>
      <c r="E57" s="1099">
        <f t="shared" si="41"/>
        <v>0</v>
      </c>
      <c r="F57" s="1100"/>
      <c r="G57" s="1100"/>
      <c r="H57" s="1083"/>
      <c r="I57" s="1084"/>
      <c r="J57" s="1100">
        <f t="shared" si="42"/>
        <v>0</v>
      </c>
      <c r="K57" s="1100"/>
      <c r="L57" s="1100"/>
      <c r="M57" s="1083"/>
      <c r="N57" s="1084"/>
      <c r="O57" s="1099">
        <f t="shared" si="43"/>
        <v>0</v>
      </c>
      <c r="P57" s="1100"/>
      <c r="Q57" s="1100"/>
      <c r="R57" s="1083"/>
      <c r="S57" s="1084"/>
      <c r="T57" s="1100">
        <f t="shared" si="44"/>
        <v>0</v>
      </c>
      <c r="U57" s="1100"/>
      <c r="V57" s="1100"/>
      <c r="W57" s="1083"/>
      <c r="X57" s="1084"/>
      <c r="Y57" s="1100">
        <f t="shared" si="45"/>
        <v>0</v>
      </c>
      <c r="Z57" s="1100"/>
      <c r="AA57" s="1100"/>
      <c r="AB57" s="1083"/>
      <c r="AC57" s="1084"/>
      <c r="AD57" s="1099">
        <f t="shared" si="46"/>
        <v>0</v>
      </c>
      <c r="AE57" s="1100"/>
      <c r="AF57" s="1100"/>
      <c r="AG57" s="1083"/>
      <c r="AH57" s="1084"/>
      <c r="AI57" s="1099">
        <f t="shared" si="47"/>
        <v>0</v>
      </c>
      <c r="AJ57" s="1100"/>
      <c r="AK57" s="1100"/>
      <c r="AL57" s="1083"/>
      <c r="AM57" s="1084"/>
      <c r="AN57" s="1099">
        <f t="shared" si="48"/>
        <v>0</v>
      </c>
      <c r="AO57" s="1099"/>
      <c r="AP57" s="1100"/>
      <c r="AQ57" s="1083"/>
      <c r="AR57" s="1084"/>
      <c r="AS57" s="1100">
        <f t="shared" si="49"/>
        <v>0</v>
      </c>
      <c r="AT57" s="1100"/>
      <c r="AU57" s="1100"/>
      <c r="AV57" s="1083"/>
      <c r="AW57" s="1084"/>
      <c r="AX57" s="1100">
        <f t="shared" si="50"/>
        <v>0</v>
      </c>
      <c r="AY57" s="1100"/>
      <c r="AZ57" s="1099"/>
      <c r="BA57" s="1099"/>
      <c r="BB57" s="1099"/>
      <c r="BC57" s="1020"/>
      <c r="BD57" s="1088">
        <f t="shared" si="51"/>
        <v>0</v>
      </c>
      <c r="BE57" s="1089">
        <f t="shared" si="52"/>
        <v>0</v>
      </c>
      <c r="BF57" s="1090">
        <f t="shared" si="36"/>
        <v>0</v>
      </c>
      <c r="BG57" s="1102"/>
    </row>
    <row r="58" spans="1:61" ht="15" hidden="1" customHeight="1">
      <c r="A58" s="405" t="s">
        <v>731</v>
      </c>
      <c r="B58" s="1083"/>
      <c r="C58" s="1083"/>
      <c r="D58" s="1084"/>
      <c r="E58" s="1099">
        <f t="shared" si="41"/>
        <v>0</v>
      </c>
      <c r="F58" s="1100"/>
      <c r="G58" s="1100"/>
      <c r="H58" s="1083"/>
      <c r="I58" s="1084"/>
      <c r="J58" s="1100">
        <f t="shared" si="42"/>
        <v>0</v>
      </c>
      <c r="K58" s="1100"/>
      <c r="L58" s="1100"/>
      <c r="M58" s="1083"/>
      <c r="N58" s="1084"/>
      <c r="O58" s="1099">
        <f t="shared" si="43"/>
        <v>0</v>
      </c>
      <c r="P58" s="1100"/>
      <c r="Q58" s="1100"/>
      <c r="R58" s="1083"/>
      <c r="S58" s="1084"/>
      <c r="T58" s="1100">
        <f t="shared" si="44"/>
        <v>0</v>
      </c>
      <c r="U58" s="1100"/>
      <c r="V58" s="1100"/>
      <c r="W58" s="1083"/>
      <c r="X58" s="1084"/>
      <c r="Y58" s="1100">
        <f t="shared" si="45"/>
        <v>0</v>
      </c>
      <c r="Z58" s="1100"/>
      <c r="AA58" s="1100"/>
      <c r="AB58" s="1083"/>
      <c r="AC58" s="1084"/>
      <c r="AD58" s="1099">
        <f t="shared" si="46"/>
        <v>0</v>
      </c>
      <c r="AE58" s="1100"/>
      <c r="AF58" s="1100"/>
      <c r="AG58" s="1083"/>
      <c r="AH58" s="1084"/>
      <c r="AI58" s="1099">
        <f t="shared" si="47"/>
        <v>0</v>
      </c>
      <c r="AJ58" s="1100"/>
      <c r="AK58" s="1100"/>
      <c r="AL58" s="1083"/>
      <c r="AM58" s="1084"/>
      <c r="AN58" s="1099">
        <f t="shared" si="48"/>
        <v>0</v>
      </c>
      <c r="AO58" s="1099"/>
      <c r="AP58" s="1100"/>
      <c r="AQ58" s="1083"/>
      <c r="AR58" s="1084"/>
      <c r="AS58" s="1100">
        <f t="shared" si="49"/>
        <v>0</v>
      </c>
      <c r="AT58" s="1100"/>
      <c r="AU58" s="1100"/>
      <c r="AV58" s="1083"/>
      <c r="AW58" s="1084"/>
      <c r="AX58" s="1100">
        <f t="shared" si="50"/>
        <v>0</v>
      </c>
      <c r="AY58" s="1100"/>
      <c r="AZ58" s="1099"/>
      <c r="BA58" s="1099"/>
      <c r="BB58" s="1099"/>
      <c r="BC58" s="1020"/>
      <c r="BD58" s="1088">
        <f t="shared" si="51"/>
        <v>0</v>
      </c>
      <c r="BE58" s="1089">
        <f t="shared" si="52"/>
        <v>0</v>
      </c>
      <c r="BF58" s="1090">
        <f t="shared" si="36"/>
        <v>0</v>
      </c>
      <c r="BG58" s="435"/>
    </row>
    <row r="59" spans="1:61" ht="15" customHeight="1">
      <c r="A59" s="405" t="s">
        <v>732</v>
      </c>
      <c r="B59" s="1083"/>
      <c r="C59" s="1083"/>
      <c r="D59" s="1084"/>
      <c r="E59" s="1099">
        <f t="shared" si="41"/>
        <v>0</v>
      </c>
      <c r="F59" s="1085"/>
      <c r="G59" s="1100"/>
      <c r="H59" s="1083"/>
      <c r="I59" s="1009"/>
      <c r="J59" s="1100">
        <f t="shared" si="42"/>
        <v>0</v>
      </c>
      <c r="K59" s="1085"/>
      <c r="L59" s="1100"/>
      <c r="M59" s="1083"/>
      <c r="N59" s="1009"/>
      <c r="O59" s="1099">
        <f t="shared" si="43"/>
        <v>0</v>
      </c>
      <c r="P59" s="1085"/>
      <c r="Q59" s="1100"/>
      <c r="R59" s="1083"/>
      <c r="S59" s="1009"/>
      <c r="T59" s="1100">
        <f t="shared" si="44"/>
        <v>0</v>
      </c>
      <c r="U59" s="1085"/>
      <c r="V59" s="1100"/>
      <c r="W59" s="1083"/>
      <c r="X59" s="1084"/>
      <c r="Y59" s="1100">
        <f t="shared" si="45"/>
        <v>0</v>
      </c>
      <c r="Z59" s="1100"/>
      <c r="AA59" s="1100"/>
      <c r="AB59" s="1083"/>
      <c r="AC59" s="1084"/>
      <c r="AD59" s="1099">
        <f t="shared" si="46"/>
        <v>0</v>
      </c>
      <c r="AE59" s="1085"/>
      <c r="AF59" s="1100"/>
      <c r="AG59" s="1083"/>
      <c r="AH59" s="1084"/>
      <c r="AI59" s="1099">
        <f t="shared" si="47"/>
        <v>0</v>
      </c>
      <c r="AJ59" s="1085"/>
      <c r="AK59" s="1100"/>
      <c r="AL59" s="1083"/>
      <c r="AM59" s="1084"/>
      <c r="AN59" s="1099">
        <f t="shared" si="48"/>
        <v>0</v>
      </c>
      <c r="AO59" s="1019"/>
      <c r="AP59" s="1100"/>
      <c r="AQ59" s="1083"/>
      <c r="AR59" s="1084"/>
      <c r="AS59" s="1100">
        <f t="shared" si="49"/>
        <v>0</v>
      </c>
      <c r="AT59" s="1085">
        <f>AQ59-AP59</f>
        <v>0</v>
      </c>
      <c r="AU59" s="1100"/>
      <c r="AV59" s="1083"/>
      <c r="AW59" s="1084"/>
      <c r="AX59" s="1100">
        <f t="shared" si="50"/>
        <v>0</v>
      </c>
      <c r="AY59" s="1085">
        <f>AV59-AU59</f>
        <v>0</v>
      </c>
      <c r="AZ59" s="1019"/>
      <c r="BA59" s="1019"/>
      <c r="BB59" s="1019"/>
      <c r="BC59" s="1088">
        <f>B59+G59+L59+Q59+V59+AA59+AF59+AK59+AP59+AU59</f>
        <v>0</v>
      </c>
      <c r="BD59" s="1088">
        <f t="shared" si="51"/>
        <v>0</v>
      </c>
      <c r="BE59" s="1091">
        <f t="shared" si="52"/>
        <v>0</v>
      </c>
      <c r="BF59" s="1090">
        <f t="shared" si="36"/>
        <v>0</v>
      </c>
      <c r="BG59" s="809">
        <f>F59+K59+P59+U59+Z59+AE59+AJ59+AO59+AT59+AY59</f>
        <v>0</v>
      </c>
    </row>
    <row r="60" spans="1:61" ht="15" customHeight="1">
      <c r="A60" s="405" t="s">
        <v>733</v>
      </c>
      <c r="B60" s="1083"/>
      <c r="C60" s="1083"/>
      <c r="D60" s="1084"/>
      <c r="E60" s="1099">
        <f t="shared" si="41"/>
        <v>0</v>
      </c>
      <c r="F60" s="1085"/>
      <c r="G60" s="1100"/>
      <c r="H60" s="1083"/>
      <c r="I60" s="1009"/>
      <c r="J60" s="1100">
        <f t="shared" si="42"/>
        <v>0</v>
      </c>
      <c r="K60" s="1085"/>
      <c r="L60" s="1100"/>
      <c r="M60" s="1083"/>
      <c r="N60" s="1009"/>
      <c r="O60" s="1099">
        <f t="shared" si="43"/>
        <v>0</v>
      </c>
      <c r="P60" s="1085"/>
      <c r="Q60" s="1100"/>
      <c r="R60" s="1083"/>
      <c r="S60" s="1009"/>
      <c r="T60" s="1100">
        <f t="shared" si="44"/>
        <v>0</v>
      </c>
      <c r="U60" s="1085"/>
      <c r="V60" s="1100"/>
      <c r="W60" s="1083"/>
      <c r="X60" s="1084"/>
      <c r="Y60" s="1100">
        <f t="shared" si="45"/>
        <v>0</v>
      </c>
      <c r="Z60" s="1100"/>
      <c r="AA60" s="1100"/>
      <c r="AB60" s="1083"/>
      <c r="AC60" s="1084"/>
      <c r="AD60" s="1099">
        <f t="shared" si="46"/>
        <v>0</v>
      </c>
      <c r="AE60" s="1085"/>
      <c r="AF60" s="1100"/>
      <c r="AG60" s="1083"/>
      <c r="AH60" s="1084"/>
      <c r="AI60" s="1099">
        <f t="shared" si="47"/>
        <v>0</v>
      </c>
      <c r="AJ60" s="1085"/>
      <c r="AK60" s="1100"/>
      <c r="AL60" s="1083"/>
      <c r="AM60" s="1084"/>
      <c r="AN60" s="1099">
        <f t="shared" si="48"/>
        <v>0</v>
      </c>
      <c r="AO60" s="1019"/>
      <c r="AP60" s="1100"/>
      <c r="AQ60" s="1083"/>
      <c r="AR60" s="1084"/>
      <c r="AS60" s="1100">
        <f t="shared" si="49"/>
        <v>0</v>
      </c>
      <c r="AT60" s="1085">
        <f>AQ60-AP60</f>
        <v>0</v>
      </c>
      <c r="AU60" s="1100"/>
      <c r="AV60" s="1083"/>
      <c r="AW60" s="1084"/>
      <c r="AX60" s="1100">
        <f t="shared" si="50"/>
        <v>0</v>
      </c>
      <c r="AY60" s="1085">
        <f>AV60-AU60</f>
        <v>0</v>
      </c>
      <c r="AZ60" s="1019"/>
      <c r="BA60" s="1019">
        <v>0</v>
      </c>
      <c r="BB60" s="1019"/>
      <c r="BC60" s="1088">
        <f>B60+G60+L60+Q60+V60+AA60+AF60+AK60+AP60+AU60</f>
        <v>0</v>
      </c>
      <c r="BD60" s="1088">
        <f t="shared" si="51"/>
        <v>0</v>
      </c>
      <c r="BE60" s="1091">
        <f t="shared" si="52"/>
        <v>0</v>
      </c>
      <c r="BF60" s="1090">
        <f t="shared" si="36"/>
        <v>0</v>
      </c>
      <c r="BG60" s="809">
        <f>F60+K60+P60+U60+Z60+AE60+AJ60+AO60+AT60+AY60</f>
        <v>0</v>
      </c>
    </row>
    <row r="61" spans="1:61" ht="15" customHeight="1">
      <c r="A61" s="405" t="s">
        <v>734</v>
      </c>
      <c r="B61" s="1083"/>
      <c r="C61" s="1083"/>
      <c r="D61" s="1084"/>
      <c r="E61" s="1099">
        <f t="shared" si="41"/>
        <v>0</v>
      </c>
      <c r="F61" s="1085"/>
      <c r="G61" s="1100"/>
      <c r="H61" s="1083"/>
      <c r="I61" s="1084"/>
      <c r="J61" s="1100">
        <f t="shared" si="42"/>
        <v>0</v>
      </c>
      <c r="K61" s="1085"/>
      <c r="L61" s="1100"/>
      <c r="M61" s="1083"/>
      <c r="N61" s="1084"/>
      <c r="O61" s="1099">
        <f t="shared" si="43"/>
        <v>0</v>
      </c>
      <c r="P61" s="1085"/>
      <c r="Q61" s="1100"/>
      <c r="R61" s="1083"/>
      <c r="S61" s="1084"/>
      <c r="T61" s="1100">
        <f t="shared" si="44"/>
        <v>0</v>
      </c>
      <c r="U61" s="1085"/>
      <c r="V61" s="1100"/>
      <c r="W61" s="1083"/>
      <c r="X61" s="1084"/>
      <c r="Y61" s="1100">
        <f t="shared" si="45"/>
        <v>0</v>
      </c>
      <c r="Z61" s="1100"/>
      <c r="AA61" s="1100"/>
      <c r="AB61" s="1083"/>
      <c r="AC61" s="1084"/>
      <c r="AD61" s="1099">
        <f t="shared" si="46"/>
        <v>0</v>
      </c>
      <c r="AE61" s="1085"/>
      <c r="AF61" s="1100"/>
      <c r="AG61" s="1083"/>
      <c r="AH61" s="1084"/>
      <c r="AI61" s="1099">
        <f t="shared" si="47"/>
        <v>0</v>
      </c>
      <c r="AJ61" s="1085"/>
      <c r="AK61" s="1100"/>
      <c r="AL61" s="1083"/>
      <c r="AM61" s="1084"/>
      <c r="AN61" s="1099">
        <f t="shared" si="48"/>
        <v>0</v>
      </c>
      <c r="AO61" s="1019"/>
      <c r="AP61" s="1100"/>
      <c r="AQ61" s="1083"/>
      <c r="AR61" s="1084"/>
      <c r="AS61" s="1100">
        <f t="shared" si="49"/>
        <v>0</v>
      </c>
      <c r="AT61" s="1085">
        <f>AQ61-AP61</f>
        <v>0</v>
      </c>
      <c r="AU61" s="1100"/>
      <c r="AV61" s="1083"/>
      <c r="AW61" s="1084"/>
      <c r="AX61" s="1100">
        <f t="shared" si="50"/>
        <v>0</v>
      </c>
      <c r="AY61" s="1085">
        <f>AV61-AU61</f>
        <v>0</v>
      </c>
      <c r="AZ61" s="1019"/>
      <c r="BA61" s="1019">
        <v>0</v>
      </c>
      <c r="BB61" s="1019"/>
      <c r="BC61" s="1088">
        <f>B61+G61+L61+Q61+V61+AA61+AF61+AK61+AP61+AU61</f>
        <v>0</v>
      </c>
      <c r="BD61" s="1088">
        <f t="shared" si="51"/>
        <v>0</v>
      </c>
      <c r="BE61" s="1091">
        <f t="shared" si="52"/>
        <v>0</v>
      </c>
      <c r="BF61" s="1090">
        <f t="shared" si="36"/>
        <v>0</v>
      </c>
      <c r="BG61" s="809">
        <f>F61+K61+P61+U61+Z61+AE61+AJ61+AO61+AT61+AY61</f>
        <v>0</v>
      </c>
    </row>
    <row r="62" spans="1:61" ht="15" customHeight="1">
      <c r="A62" s="405" t="s">
        <v>735</v>
      </c>
      <c r="B62" s="1083"/>
      <c r="C62" s="1083"/>
      <c r="D62" s="1084"/>
      <c r="E62" s="1099">
        <f t="shared" si="41"/>
        <v>0</v>
      </c>
      <c r="F62" s="1085"/>
      <c r="G62" s="1100"/>
      <c r="H62" s="1083"/>
      <c r="I62" s="1084"/>
      <c r="J62" s="1100">
        <f t="shared" si="42"/>
        <v>0</v>
      </c>
      <c r="K62" s="1085"/>
      <c r="L62" s="1100"/>
      <c r="M62" s="1083"/>
      <c r="N62" s="1084"/>
      <c r="O62" s="1099">
        <f t="shared" si="43"/>
        <v>0</v>
      </c>
      <c r="P62" s="1085"/>
      <c r="Q62" s="1100"/>
      <c r="R62" s="1083"/>
      <c r="S62" s="1084"/>
      <c r="T62" s="1100">
        <f t="shared" si="44"/>
        <v>0</v>
      </c>
      <c r="U62" s="1085"/>
      <c r="V62" s="1100"/>
      <c r="W62" s="1083"/>
      <c r="X62" s="1084"/>
      <c r="Y62" s="1100">
        <f t="shared" si="45"/>
        <v>0</v>
      </c>
      <c r="Z62" s="1100"/>
      <c r="AA62" s="1100"/>
      <c r="AB62" s="1083"/>
      <c r="AC62" s="1084"/>
      <c r="AD62" s="1099">
        <f t="shared" si="46"/>
        <v>0</v>
      </c>
      <c r="AE62" s="1085"/>
      <c r="AF62" s="1100"/>
      <c r="AG62" s="1083"/>
      <c r="AH62" s="1084"/>
      <c r="AI62" s="1099">
        <f t="shared" si="47"/>
        <v>0</v>
      </c>
      <c r="AJ62" s="1085"/>
      <c r="AK62" s="1100"/>
      <c r="AL62" s="1083"/>
      <c r="AM62" s="1084"/>
      <c r="AN62" s="1099">
        <f t="shared" si="48"/>
        <v>0</v>
      </c>
      <c r="AO62" s="1019"/>
      <c r="AP62" s="1100"/>
      <c r="AQ62" s="1083"/>
      <c r="AR62" s="1084"/>
      <c r="AS62" s="1100">
        <f t="shared" si="49"/>
        <v>0</v>
      </c>
      <c r="AT62" s="1085">
        <f>AQ62-AP62</f>
        <v>0</v>
      </c>
      <c r="AU62" s="1100"/>
      <c r="AV62" s="1083"/>
      <c r="AW62" s="1084"/>
      <c r="AX62" s="1100">
        <f t="shared" si="50"/>
        <v>0</v>
      </c>
      <c r="AY62" s="1085">
        <f>AV62-AU62</f>
        <v>0</v>
      </c>
      <c r="AZ62" s="1019"/>
      <c r="BA62" s="1019">
        <v>0</v>
      </c>
      <c r="BB62" s="1019"/>
      <c r="BC62" s="1088">
        <f>B62+G62+L62+Q62+V62+AA62+AF62+AK62+AP62+AU62</f>
        <v>0</v>
      </c>
      <c r="BD62" s="1088">
        <f t="shared" si="51"/>
        <v>0</v>
      </c>
      <c r="BE62" s="1091">
        <f t="shared" si="52"/>
        <v>0</v>
      </c>
      <c r="BF62" s="1090">
        <f t="shared" si="36"/>
        <v>0</v>
      </c>
      <c r="BG62" s="809">
        <f>F62+K62+P62+U62+Z62+AE62+AJ62+AO62+AT62+AY62</f>
        <v>0</v>
      </c>
    </row>
    <row r="63" spans="1:61" ht="15" hidden="1" customHeight="1">
      <c r="A63" s="405" t="s">
        <v>736</v>
      </c>
      <c r="B63" s="1083"/>
      <c r="C63" s="1083"/>
      <c r="D63" s="1084"/>
      <c r="E63" s="1099">
        <f t="shared" si="41"/>
        <v>0</v>
      </c>
      <c r="F63" s="1100"/>
      <c r="G63" s="1100"/>
      <c r="H63" s="1083"/>
      <c r="I63" s="1009"/>
      <c r="J63" s="1100">
        <f t="shared" si="42"/>
        <v>0</v>
      </c>
      <c r="K63" s="1100"/>
      <c r="L63" s="1100"/>
      <c r="M63" s="1083"/>
      <c r="N63" s="1009"/>
      <c r="O63" s="1099">
        <f t="shared" si="43"/>
        <v>0</v>
      </c>
      <c r="P63" s="1100"/>
      <c r="Q63" s="1100"/>
      <c r="R63" s="1083"/>
      <c r="S63" s="1009"/>
      <c r="T63" s="1100">
        <f t="shared" si="44"/>
        <v>0</v>
      </c>
      <c r="U63" s="1100"/>
      <c r="V63" s="1100"/>
      <c r="W63" s="1083"/>
      <c r="X63" s="1084"/>
      <c r="Y63" s="1100">
        <f t="shared" si="45"/>
        <v>0</v>
      </c>
      <c r="Z63" s="1100"/>
      <c r="AA63" s="1100"/>
      <c r="AB63" s="1083"/>
      <c r="AC63" s="1084"/>
      <c r="AD63" s="1099">
        <f t="shared" si="46"/>
        <v>0</v>
      </c>
      <c r="AE63" s="1100"/>
      <c r="AF63" s="1100"/>
      <c r="AG63" s="1083"/>
      <c r="AH63" s="1084"/>
      <c r="AI63" s="1099">
        <f t="shared" si="47"/>
        <v>0</v>
      </c>
      <c r="AJ63" s="1100"/>
      <c r="AK63" s="1100"/>
      <c r="AL63" s="1083"/>
      <c r="AM63" s="1084"/>
      <c r="AN63" s="1099">
        <f t="shared" si="48"/>
        <v>0</v>
      </c>
      <c r="AO63" s="1099"/>
      <c r="AP63" s="1100"/>
      <c r="AQ63" s="1083"/>
      <c r="AR63" s="1084"/>
      <c r="AS63" s="1100">
        <f t="shared" si="49"/>
        <v>0</v>
      </c>
      <c r="AT63" s="1100"/>
      <c r="AU63" s="1100"/>
      <c r="AV63" s="1083"/>
      <c r="AW63" s="1084"/>
      <c r="AX63" s="1100">
        <f t="shared" si="50"/>
        <v>0</v>
      </c>
      <c r="AY63" s="1100"/>
      <c r="AZ63" s="1099"/>
      <c r="BA63" s="1099"/>
      <c r="BB63" s="1099"/>
      <c r="BC63" s="1020"/>
      <c r="BD63" s="1088">
        <f t="shared" si="51"/>
        <v>0</v>
      </c>
      <c r="BE63" s="1089">
        <f t="shared" si="52"/>
        <v>0</v>
      </c>
      <c r="BF63" s="1090">
        <f t="shared" si="36"/>
        <v>0</v>
      </c>
      <c r="BG63" s="1102"/>
    </row>
    <row r="64" spans="1:61" s="961" customFormat="1" ht="15" customHeight="1" thickBot="1">
      <c r="A64" s="1022" t="s">
        <v>737</v>
      </c>
      <c r="B64" s="1023">
        <f t="shared" ref="B64:AG64" si="53">SUM(B51:B63)</f>
        <v>0</v>
      </c>
      <c r="C64" s="1023">
        <f t="shared" si="53"/>
        <v>0</v>
      </c>
      <c r="D64" s="1023">
        <f t="shared" si="53"/>
        <v>0</v>
      </c>
      <c r="E64" s="1023">
        <f t="shared" si="53"/>
        <v>0</v>
      </c>
      <c r="F64" s="1023">
        <f t="shared" si="53"/>
        <v>0</v>
      </c>
      <c r="G64" s="1023">
        <f t="shared" si="53"/>
        <v>0</v>
      </c>
      <c r="H64" s="1023">
        <f t="shared" si="53"/>
        <v>0</v>
      </c>
      <c r="I64" s="1023">
        <f t="shared" si="53"/>
        <v>0</v>
      </c>
      <c r="J64" s="1023">
        <f t="shared" si="53"/>
        <v>0</v>
      </c>
      <c r="K64" s="1023">
        <f t="shared" si="53"/>
        <v>0</v>
      </c>
      <c r="L64" s="1023">
        <f t="shared" si="53"/>
        <v>0</v>
      </c>
      <c r="M64" s="1023">
        <f t="shared" si="53"/>
        <v>0</v>
      </c>
      <c r="N64" s="1023">
        <f t="shared" si="53"/>
        <v>0</v>
      </c>
      <c r="O64" s="1023">
        <f t="shared" si="53"/>
        <v>0</v>
      </c>
      <c r="P64" s="1023">
        <f t="shared" si="53"/>
        <v>0</v>
      </c>
      <c r="Q64" s="1023">
        <f t="shared" si="53"/>
        <v>0</v>
      </c>
      <c r="R64" s="1023">
        <f t="shared" si="53"/>
        <v>0</v>
      </c>
      <c r="S64" s="1023">
        <f t="shared" si="53"/>
        <v>0</v>
      </c>
      <c r="T64" s="1023">
        <f t="shared" si="53"/>
        <v>0</v>
      </c>
      <c r="U64" s="1023">
        <f t="shared" si="53"/>
        <v>0</v>
      </c>
      <c r="V64" s="1023">
        <f t="shared" si="53"/>
        <v>0</v>
      </c>
      <c r="W64" s="1023">
        <f t="shared" si="53"/>
        <v>0</v>
      </c>
      <c r="X64" s="1023">
        <f t="shared" si="53"/>
        <v>0</v>
      </c>
      <c r="Y64" s="1023">
        <f t="shared" si="53"/>
        <v>0</v>
      </c>
      <c r="Z64" s="1023">
        <f t="shared" si="53"/>
        <v>0</v>
      </c>
      <c r="AA64" s="1023">
        <f t="shared" si="53"/>
        <v>0</v>
      </c>
      <c r="AB64" s="1023">
        <f t="shared" si="53"/>
        <v>0</v>
      </c>
      <c r="AC64" s="1023">
        <f t="shared" si="53"/>
        <v>0</v>
      </c>
      <c r="AD64" s="1023">
        <f t="shared" si="53"/>
        <v>0</v>
      </c>
      <c r="AE64" s="1023">
        <f t="shared" si="53"/>
        <v>0</v>
      </c>
      <c r="AF64" s="1023">
        <f t="shared" si="53"/>
        <v>0</v>
      </c>
      <c r="AG64" s="1023">
        <f t="shared" si="53"/>
        <v>0</v>
      </c>
      <c r="AH64" s="1023">
        <f t="shared" ref="AH64:AY64" si="54">SUM(AH51:AH63)</f>
        <v>0</v>
      </c>
      <c r="AI64" s="1023">
        <f t="shared" si="54"/>
        <v>0</v>
      </c>
      <c r="AJ64" s="1023">
        <f t="shared" si="54"/>
        <v>0</v>
      </c>
      <c r="AK64" s="1023">
        <f t="shared" si="54"/>
        <v>0</v>
      </c>
      <c r="AL64" s="1023">
        <f t="shared" si="54"/>
        <v>0</v>
      </c>
      <c r="AM64" s="1023">
        <f t="shared" si="54"/>
        <v>0</v>
      </c>
      <c r="AN64" s="1023">
        <f t="shared" si="54"/>
        <v>0</v>
      </c>
      <c r="AO64" s="1023">
        <f t="shared" si="54"/>
        <v>0</v>
      </c>
      <c r="AP64" s="1098">
        <f t="shared" si="54"/>
        <v>0</v>
      </c>
      <c r="AQ64" s="1098">
        <f t="shared" si="54"/>
        <v>0</v>
      </c>
      <c r="AR64" s="1098">
        <f t="shared" si="54"/>
        <v>0</v>
      </c>
      <c r="AS64" s="1098">
        <f t="shared" si="54"/>
        <v>0</v>
      </c>
      <c r="AT64" s="1098">
        <f t="shared" si="54"/>
        <v>0</v>
      </c>
      <c r="AU64" s="1098">
        <f t="shared" si="54"/>
        <v>0</v>
      </c>
      <c r="AV64" s="1098">
        <f t="shared" si="54"/>
        <v>0</v>
      </c>
      <c r="AW64" s="1098">
        <f t="shared" si="54"/>
        <v>0</v>
      </c>
      <c r="AX64" s="1098">
        <f t="shared" si="54"/>
        <v>0</v>
      </c>
      <c r="AY64" s="1098">
        <f t="shared" si="54"/>
        <v>0</v>
      </c>
      <c r="AZ64" s="1023"/>
      <c r="BA64" s="1023">
        <f>SUM(BA51:BA63)</f>
        <v>0</v>
      </c>
      <c r="BB64" s="1023">
        <f>SUM(BB51:BB63)</f>
        <v>0</v>
      </c>
      <c r="BC64" s="1023">
        <f>SUM(BC51:BC63)</f>
        <v>0</v>
      </c>
      <c r="BD64" s="1023">
        <f>SUM(BD51:BD63)</f>
        <v>0</v>
      </c>
      <c r="BE64" s="1031">
        <f>SUM(BE51:BE63)</f>
        <v>0</v>
      </c>
      <c r="BF64" s="1666">
        <f t="shared" si="36"/>
        <v>0</v>
      </c>
      <c r="BG64" s="1668">
        <f>SUM(BG51:BG63)</f>
        <v>0</v>
      </c>
      <c r="BH64" s="415"/>
      <c r="BI64" s="297"/>
    </row>
    <row r="65" spans="1:63" s="1105" customFormat="1" ht="15" customHeight="1" thickBot="1">
      <c r="A65" s="1103" t="s">
        <v>738</v>
      </c>
      <c r="B65" s="1030">
        <f t="shared" ref="B65:AG65" si="55">SUM(B50+B64)</f>
        <v>1346427851</v>
      </c>
      <c r="C65" s="1030">
        <f t="shared" si="55"/>
        <v>1363019931</v>
      </c>
      <c r="D65" s="1030">
        <f t="shared" si="55"/>
        <v>2016858</v>
      </c>
      <c r="E65" s="1030">
        <f t="shared" si="55"/>
        <v>1393451603</v>
      </c>
      <c r="F65" s="1030">
        <f t="shared" si="55"/>
        <v>1203955996</v>
      </c>
      <c r="G65" s="1030">
        <f t="shared" si="55"/>
        <v>0</v>
      </c>
      <c r="H65" s="1030">
        <f t="shared" si="55"/>
        <v>0</v>
      </c>
      <c r="I65" s="1030">
        <f t="shared" si="55"/>
        <v>0</v>
      </c>
      <c r="J65" s="1030">
        <f t="shared" si="55"/>
        <v>0</v>
      </c>
      <c r="K65" s="1030">
        <f t="shared" si="55"/>
        <v>0</v>
      </c>
      <c r="L65" s="1030">
        <f t="shared" si="55"/>
        <v>498889000</v>
      </c>
      <c r="M65" s="1030">
        <f t="shared" si="55"/>
        <v>523146000</v>
      </c>
      <c r="N65" s="1030">
        <f t="shared" si="55"/>
        <v>0</v>
      </c>
      <c r="O65" s="1030">
        <f t="shared" si="55"/>
        <v>524966411</v>
      </c>
      <c r="P65" s="1030">
        <f t="shared" si="55"/>
        <v>394130328</v>
      </c>
      <c r="Q65" s="1030">
        <f t="shared" si="55"/>
        <v>0</v>
      </c>
      <c r="R65" s="1030">
        <f t="shared" si="55"/>
        <v>0</v>
      </c>
      <c r="S65" s="1030">
        <f t="shared" si="55"/>
        <v>0</v>
      </c>
      <c r="T65" s="1030">
        <f t="shared" si="55"/>
        <v>0</v>
      </c>
      <c r="U65" s="1030">
        <f t="shared" si="55"/>
        <v>0</v>
      </c>
      <c r="V65" s="1030">
        <f t="shared" si="55"/>
        <v>0</v>
      </c>
      <c r="W65" s="1030">
        <f t="shared" si="55"/>
        <v>0</v>
      </c>
      <c r="X65" s="1030">
        <f t="shared" si="55"/>
        <v>0</v>
      </c>
      <c r="Y65" s="1030">
        <f t="shared" si="55"/>
        <v>0</v>
      </c>
      <c r="Z65" s="1030">
        <f t="shared" si="55"/>
        <v>0</v>
      </c>
      <c r="AA65" s="1030">
        <f t="shared" si="55"/>
        <v>15725000</v>
      </c>
      <c r="AB65" s="1030">
        <f t="shared" si="55"/>
        <v>15725000</v>
      </c>
      <c r="AC65" s="1030">
        <f t="shared" si="55"/>
        <v>0</v>
      </c>
      <c r="AD65" s="1030">
        <f t="shared" si="55"/>
        <v>15725000</v>
      </c>
      <c r="AE65" s="1030">
        <f t="shared" si="55"/>
        <v>9432435</v>
      </c>
      <c r="AF65" s="1030">
        <f t="shared" si="55"/>
        <v>143000</v>
      </c>
      <c r="AG65" s="1030">
        <f t="shared" si="55"/>
        <v>143000</v>
      </c>
      <c r="AH65" s="1030">
        <f t="shared" ref="AH65:AY65" si="56">SUM(AH50+AH64)</f>
        <v>0</v>
      </c>
      <c r="AI65" s="1030">
        <f t="shared" si="56"/>
        <v>143000</v>
      </c>
      <c r="AJ65" s="1030">
        <f t="shared" si="56"/>
        <v>51345</v>
      </c>
      <c r="AK65" s="1030">
        <f t="shared" si="56"/>
        <v>60644000</v>
      </c>
      <c r="AL65" s="1030">
        <f t="shared" si="56"/>
        <v>60644000</v>
      </c>
      <c r="AM65" s="1030">
        <f t="shared" si="56"/>
        <v>0</v>
      </c>
      <c r="AN65" s="1030">
        <f t="shared" si="56"/>
        <v>55642065</v>
      </c>
      <c r="AO65" s="1030">
        <f t="shared" si="56"/>
        <v>43637131</v>
      </c>
      <c r="AP65" s="1104">
        <f t="shared" si="56"/>
        <v>0</v>
      </c>
      <c r="AQ65" s="1104">
        <f t="shared" si="56"/>
        <v>0</v>
      </c>
      <c r="AR65" s="1104">
        <f t="shared" si="56"/>
        <v>0</v>
      </c>
      <c r="AS65" s="1104">
        <f t="shared" si="56"/>
        <v>0</v>
      </c>
      <c r="AT65" s="1104">
        <f t="shared" si="56"/>
        <v>0</v>
      </c>
      <c r="AU65" s="1104">
        <f t="shared" si="56"/>
        <v>0</v>
      </c>
      <c r="AV65" s="1104">
        <f t="shared" si="56"/>
        <v>0</v>
      </c>
      <c r="AW65" s="1104">
        <f t="shared" si="56"/>
        <v>0</v>
      </c>
      <c r="AX65" s="1104">
        <f t="shared" si="56"/>
        <v>0</v>
      </c>
      <c r="AY65" s="1104">
        <f t="shared" si="56"/>
        <v>0</v>
      </c>
      <c r="AZ65" s="1030"/>
      <c r="BA65" s="1030">
        <f>SUM(BA50+BA64)</f>
        <v>34663965</v>
      </c>
      <c r="BB65" s="1030">
        <f>SUM(BB50+BB64)</f>
        <v>34246768</v>
      </c>
      <c r="BC65" s="1030">
        <f>SUM(BC50+BC64)</f>
        <v>1921828851</v>
      </c>
      <c r="BD65" s="1030">
        <f>SUM(BD50+BD64)</f>
        <v>1962677931</v>
      </c>
      <c r="BE65" s="1665">
        <f>SUM(BE50+BE64)</f>
        <v>2016858</v>
      </c>
      <c r="BF65" s="1667">
        <f t="shared" si="36"/>
        <v>2024592044</v>
      </c>
      <c r="BG65" s="1667">
        <f>SUM(F65+P65+AE65+AJ65+AO65+BB65)</f>
        <v>1685454003</v>
      </c>
      <c r="BH65" s="415"/>
      <c r="BI65" s="297"/>
    </row>
    <row r="66" spans="1:63" s="630" customFormat="1" ht="15" customHeight="1">
      <c r="A66" s="742" t="s">
        <v>739</v>
      </c>
      <c r="B66" s="1099"/>
      <c r="C66" s="1099"/>
      <c r="D66" s="1094"/>
      <c r="E66" s="1099"/>
      <c r="F66" s="1099"/>
      <c r="G66" s="1099"/>
      <c r="H66" s="1099"/>
      <c r="I66" s="1094"/>
      <c r="J66" s="1099"/>
      <c r="K66" s="1099"/>
      <c r="L66" s="1099"/>
      <c r="M66" s="1099"/>
      <c r="N66" s="1094"/>
      <c r="O66" s="1099"/>
      <c r="P66" s="1099"/>
      <c r="Q66" s="1099"/>
      <c r="R66" s="1099"/>
      <c r="S66" s="1094"/>
      <c r="T66" s="1099"/>
      <c r="U66" s="1099"/>
      <c r="V66" s="1099"/>
      <c r="W66" s="1099"/>
      <c r="X66" s="1094"/>
      <c r="Y66" s="1099"/>
      <c r="Z66" s="1099"/>
      <c r="AA66" s="1099"/>
      <c r="AB66" s="1099"/>
      <c r="AC66" s="1094"/>
      <c r="AD66" s="1099"/>
      <c r="AE66" s="1099"/>
      <c r="AF66" s="1099"/>
      <c r="AG66" s="1099"/>
      <c r="AH66" s="1094"/>
      <c r="AI66" s="1099"/>
      <c r="AJ66" s="1099"/>
      <c r="AK66" s="1099"/>
      <c r="AL66" s="1099"/>
      <c r="AM66" s="1094"/>
      <c r="AN66" s="1099"/>
      <c r="AO66" s="1099"/>
      <c r="AP66" s="1099"/>
      <c r="AQ66" s="1099"/>
      <c r="AR66" s="1094"/>
      <c r="AS66" s="1099"/>
      <c r="AT66" s="1099"/>
      <c r="AU66" s="1099"/>
      <c r="AV66" s="1099"/>
      <c r="AW66" s="1094"/>
      <c r="AX66" s="1099"/>
      <c r="AY66" s="1099"/>
      <c r="AZ66" s="1099"/>
      <c r="BA66" s="1099"/>
      <c r="BB66" s="1099"/>
      <c r="BC66" s="1013"/>
      <c r="BD66" s="1013"/>
      <c r="BE66" s="1106"/>
      <c r="BF66" s="1090">
        <f t="shared" si="36"/>
        <v>0</v>
      </c>
      <c r="BG66" s="809"/>
      <c r="BH66" s="415"/>
      <c r="BI66" s="297"/>
    </row>
    <row r="67" spans="1:63" ht="15" hidden="1" customHeight="1">
      <c r="A67" s="1092" t="s">
        <v>740</v>
      </c>
      <c r="B67" s="1083"/>
      <c r="C67" s="1083"/>
      <c r="D67" s="1084"/>
      <c r="E67" s="1099">
        <f>SUM(C67+D67)</f>
        <v>0</v>
      </c>
      <c r="F67" s="1100"/>
      <c r="G67" s="1100"/>
      <c r="H67" s="1083"/>
      <c r="I67" s="1084"/>
      <c r="J67" s="1100">
        <f t="shared" ref="J67:J80" si="57">SUM(H67+I67)</f>
        <v>0</v>
      </c>
      <c r="K67" s="1100"/>
      <c r="L67" s="1100"/>
      <c r="M67" s="1083"/>
      <c r="N67" s="1084"/>
      <c r="O67" s="1099">
        <f t="shared" ref="O67:O76" si="58">SUM(M67+N67)</f>
        <v>0</v>
      </c>
      <c r="P67" s="1100"/>
      <c r="Q67" s="1100"/>
      <c r="R67" s="1083"/>
      <c r="S67" s="1084"/>
      <c r="T67" s="1100">
        <f t="shared" ref="T67:T80" si="59">SUM(R67+S67)</f>
        <v>0</v>
      </c>
      <c r="U67" s="1100"/>
      <c r="V67" s="1100"/>
      <c r="W67" s="1083"/>
      <c r="X67" s="1084"/>
      <c r="Y67" s="1100">
        <f t="shared" ref="Y67:Y80" si="60">SUM(W67+X67)</f>
        <v>0</v>
      </c>
      <c r="Z67" s="1100"/>
      <c r="AA67" s="1100"/>
      <c r="AB67" s="1083"/>
      <c r="AC67" s="1084"/>
      <c r="AD67" s="1099">
        <f t="shared" ref="AD67:AD76" si="61">SUM(AB67+AC67)</f>
        <v>0</v>
      </c>
      <c r="AE67" s="1100"/>
      <c r="AF67" s="1100"/>
      <c r="AG67" s="1083"/>
      <c r="AH67" s="1084"/>
      <c r="AI67" s="1099">
        <f t="shared" ref="AI67:AI76" si="62">SUM(AG67+AH67)</f>
        <v>0</v>
      </c>
      <c r="AJ67" s="1100"/>
      <c r="AK67" s="1100"/>
      <c r="AL67" s="1083"/>
      <c r="AM67" s="1084"/>
      <c r="AN67" s="1099">
        <f t="shared" ref="AN67:AN76" si="63">SUM(AL67+AM67)</f>
        <v>0</v>
      </c>
      <c r="AO67" s="1100"/>
      <c r="AP67" s="1100"/>
      <c r="AQ67" s="1083"/>
      <c r="AR67" s="1084"/>
      <c r="AS67" s="1100">
        <f t="shared" ref="AS67:AS80" si="64">SUM(AQ67+AR67)</f>
        <v>0</v>
      </c>
      <c r="AT67" s="1100"/>
      <c r="AU67" s="1100"/>
      <c r="AV67" s="1083"/>
      <c r="AW67" s="1084"/>
      <c r="AX67" s="1100">
        <f t="shared" ref="AX67:AX80" si="65">SUM(AV67+AW67)</f>
        <v>0</v>
      </c>
      <c r="AY67" s="1100"/>
      <c r="AZ67" s="1099"/>
      <c r="BA67" s="1099"/>
      <c r="BB67" s="1099"/>
      <c r="BC67" s="1020"/>
      <c r="BD67" s="1088">
        <f t="shared" ref="BD67:BD80" si="66">C67+H67+M67+R67+W67+AB67+AG67+AL67+AQ67+AV67</f>
        <v>0</v>
      </c>
      <c r="BE67" s="1089">
        <f t="shared" ref="BE67:BE80" si="67">D67+I67+N67+S67+X67+AC67+AH67+AM67+AR67+AW67</f>
        <v>0</v>
      </c>
      <c r="BF67" s="1090">
        <f t="shared" si="36"/>
        <v>0</v>
      </c>
    </row>
    <row r="68" spans="1:63" ht="15" customHeight="1">
      <c r="A68" s="1107" t="s">
        <v>741</v>
      </c>
      <c r="B68" s="1083"/>
      <c r="C68" s="1083"/>
      <c r="D68" s="1084"/>
      <c r="E68" s="1099">
        <f>SUM(C68+D68)</f>
        <v>0</v>
      </c>
      <c r="F68" s="1085"/>
      <c r="G68" s="1100"/>
      <c r="H68" s="1083"/>
      <c r="I68" s="1084"/>
      <c r="J68" s="1100">
        <f t="shared" si="57"/>
        <v>0</v>
      </c>
      <c r="K68" s="1085"/>
      <c r="L68" s="1100"/>
      <c r="M68" s="1083"/>
      <c r="N68" s="1084"/>
      <c r="O68" s="1099">
        <f t="shared" si="58"/>
        <v>0</v>
      </c>
      <c r="P68" s="1085"/>
      <c r="Q68" s="1100"/>
      <c r="R68" s="1083"/>
      <c r="S68" s="1084"/>
      <c r="T68" s="1100">
        <f t="shared" si="59"/>
        <v>0</v>
      </c>
      <c r="U68" s="1085"/>
      <c r="V68" s="1100"/>
      <c r="W68" s="1083"/>
      <c r="X68" s="1084"/>
      <c r="Y68" s="1100">
        <f t="shared" si="60"/>
        <v>0</v>
      </c>
      <c r="Z68" s="1100"/>
      <c r="AA68" s="1100"/>
      <c r="AB68" s="1083"/>
      <c r="AC68" s="1084"/>
      <c r="AD68" s="1099">
        <f t="shared" si="61"/>
        <v>0</v>
      </c>
      <c r="AE68" s="1085"/>
      <c r="AF68" s="1100"/>
      <c r="AG68" s="1083"/>
      <c r="AH68" s="1084"/>
      <c r="AI68" s="1099">
        <f t="shared" si="62"/>
        <v>0</v>
      </c>
      <c r="AJ68" s="1085"/>
      <c r="AK68" s="1100"/>
      <c r="AL68" s="1083"/>
      <c r="AM68" s="1084"/>
      <c r="AN68" s="1099">
        <f t="shared" si="63"/>
        <v>0</v>
      </c>
      <c r="AO68" s="1085"/>
      <c r="AP68" s="1100"/>
      <c r="AQ68" s="1083"/>
      <c r="AR68" s="1084"/>
      <c r="AS68" s="1100">
        <f t="shared" si="64"/>
        <v>0</v>
      </c>
      <c r="AT68" s="1085">
        <f t="shared" ref="AT68:AT80" si="68">AQ68-AP68</f>
        <v>0</v>
      </c>
      <c r="AU68" s="1100"/>
      <c r="AV68" s="1083"/>
      <c r="AW68" s="1084"/>
      <c r="AX68" s="1100">
        <f t="shared" si="65"/>
        <v>0</v>
      </c>
      <c r="AY68" s="1085">
        <f t="shared" ref="AY68:AY80" si="69">AV68-AU68</f>
        <v>0</v>
      </c>
      <c r="AZ68" s="1019"/>
      <c r="BA68" s="1019">
        <v>0</v>
      </c>
      <c r="BB68" s="1019"/>
      <c r="BC68" s="1088">
        <f t="shared" ref="BC68:BC80" si="70">B68+G68+L68+Q68+V68+AA68+AF68+AK68+AP68+AU68</f>
        <v>0</v>
      </c>
      <c r="BD68" s="1088">
        <f t="shared" si="66"/>
        <v>0</v>
      </c>
      <c r="BE68" s="1091">
        <f t="shared" si="67"/>
        <v>0</v>
      </c>
      <c r="BF68" s="1090">
        <f t="shared" si="36"/>
        <v>0</v>
      </c>
      <c r="BG68" s="1090">
        <f t="shared" ref="BG68:BG91" si="71">SUM(F68+P68+AE68+AJ68+AO68+BB68)</f>
        <v>0</v>
      </c>
      <c r="BH68" s="445"/>
      <c r="BI68" s="433"/>
      <c r="BJ68" s="433"/>
      <c r="BK68" s="433"/>
    </row>
    <row r="69" spans="1:63" ht="15" customHeight="1">
      <c r="A69" s="1107" t="s">
        <v>742</v>
      </c>
      <c r="B69" s="1083"/>
      <c r="C69" s="1083"/>
      <c r="D69" s="1084"/>
      <c r="E69" s="1099">
        <f>SUM(C69+D69)</f>
        <v>0</v>
      </c>
      <c r="F69" s="1085"/>
      <c r="G69" s="1100"/>
      <c r="H69" s="1083"/>
      <c r="I69" s="1084"/>
      <c r="J69" s="1100">
        <f t="shared" si="57"/>
        <v>0</v>
      </c>
      <c r="K69" s="1085"/>
      <c r="L69" s="1100"/>
      <c r="M69" s="1083"/>
      <c r="N69" s="1084"/>
      <c r="O69" s="1099">
        <f t="shared" si="58"/>
        <v>0</v>
      </c>
      <c r="P69" s="1085"/>
      <c r="Q69" s="1100"/>
      <c r="R69" s="1083"/>
      <c r="S69" s="1084"/>
      <c r="T69" s="1100">
        <f t="shared" si="59"/>
        <v>0</v>
      </c>
      <c r="U69" s="1085"/>
      <c r="V69" s="1100"/>
      <c r="W69" s="1083"/>
      <c r="X69" s="1084"/>
      <c r="Y69" s="1100">
        <f t="shared" si="60"/>
        <v>0</v>
      </c>
      <c r="Z69" s="1100"/>
      <c r="AA69" s="1100"/>
      <c r="AB69" s="1083"/>
      <c r="AC69" s="1084"/>
      <c r="AD69" s="1099">
        <f t="shared" si="61"/>
        <v>0</v>
      </c>
      <c r="AE69" s="1085"/>
      <c r="AF69" s="1100"/>
      <c r="AG69" s="1083"/>
      <c r="AH69" s="1084"/>
      <c r="AI69" s="1099">
        <f t="shared" si="62"/>
        <v>0</v>
      </c>
      <c r="AJ69" s="1085"/>
      <c r="AK69" s="1100"/>
      <c r="AL69" s="1083"/>
      <c r="AM69" s="1084"/>
      <c r="AN69" s="1099">
        <f t="shared" si="63"/>
        <v>0</v>
      </c>
      <c r="AO69" s="1085"/>
      <c r="AP69" s="1100"/>
      <c r="AQ69" s="1083"/>
      <c r="AR69" s="1084"/>
      <c r="AS69" s="1100">
        <f t="shared" si="64"/>
        <v>0</v>
      </c>
      <c r="AT69" s="1085">
        <f t="shared" si="68"/>
        <v>0</v>
      </c>
      <c r="AU69" s="1100"/>
      <c r="AV69" s="1083"/>
      <c r="AW69" s="1084"/>
      <c r="AX69" s="1100">
        <f t="shared" si="65"/>
        <v>0</v>
      </c>
      <c r="AY69" s="1085">
        <f t="shared" si="69"/>
        <v>0</v>
      </c>
      <c r="AZ69" s="1019"/>
      <c r="BA69" s="1019">
        <v>0</v>
      </c>
      <c r="BB69" s="1019"/>
      <c r="BC69" s="1088">
        <f t="shared" si="70"/>
        <v>0</v>
      </c>
      <c r="BD69" s="1088">
        <f t="shared" si="66"/>
        <v>0</v>
      </c>
      <c r="BE69" s="1091">
        <f t="shared" si="67"/>
        <v>0</v>
      </c>
      <c r="BF69" s="1090">
        <f t="shared" si="36"/>
        <v>0</v>
      </c>
      <c r="BG69" s="1090">
        <f t="shared" si="71"/>
        <v>0</v>
      </c>
      <c r="BH69" s="445"/>
      <c r="BI69" s="433"/>
      <c r="BJ69" s="433"/>
      <c r="BK69" s="433"/>
    </row>
    <row r="70" spans="1:63" ht="15" customHeight="1">
      <c r="A70" s="405" t="s">
        <v>743</v>
      </c>
      <c r="B70" s="1083"/>
      <c r="C70" s="1083"/>
      <c r="D70" s="1084"/>
      <c r="E70" s="1099">
        <f>SUM(C70+D70)</f>
        <v>0</v>
      </c>
      <c r="F70" s="1085"/>
      <c r="G70" s="1100"/>
      <c r="H70" s="1083"/>
      <c r="I70" s="1084"/>
      <c r="J70" s="1100">
        <f t="shared" si="57"/>
        <v>0</v>
      </c>
      <c r="K70" s="1085"/>
      <c r="L70" s="1100"/>
      <c r="M70" s="1083"/>
      <c r="N70" s="1084"/>
      <c r="O70" s="1099">
        <f t="shared" si="58"/>
        <v>0</v>
      </c>
      <c r="P70" s="1085"/>
      <c r="Q70" s="1100"/>
      <c r="R70" s="1083"/>
      <c r="S70" s="1084"/>
      <c r="T70" s="1100">
        <f t="shared" si="59"/>
        <v>0</v>
      </c>
      <c r="U70" s="1085"/>
      <c r="V70" s="1100"/>
      <c r="W70" s="1083"/>
      <c r="X70" s="1084"/>
      <c r="Y70" s="1100">
        <f t="shared" si="60"/>
        <v>0</v>
      </c>
      <c r="Z70" s="1100"/>
      <c r="AA70" s="1100"/>
      <c r="AB70" s="1083"/>
      <c r="AC70" s="1084"/>
      <c r="AD70" s="1099">
        <f t="shared" si="61"/>
        <v>0</v>
      </c>
      <c r="AE70" s="1085"/>
      <c r="AF70" s="1100"/>
      <c r="AG70" s="1083"/>
      <c r="AH70" s="1084"/>
      <c r="AI70" s="1099">
        <f t="shared" si="62"/>
        <v>0</v>
      </c>
      <c r="AJ70" s="1085"/>
      <c r="AK70" s="1100"/>
      <c r="AL70" s="1083"/>
      <c r="AM70" s="1084"/>
      <c r="AN70" s="1099">
        <f t="shared" si="63"/>
        <v>0</v>
      </c>
      <c r="AO70" s="1085"/>
      <c r="AP70" s="1100"/>
      <c r="AQ70" s="1083"/>
      <c r="AR70" s="1084"/>
      <c r="AS70" s="1100">
        <f t="shared" si="64"/>
        <v>0</v>
      </c>
      <c r="AT70" s="1085">
        <f t="shared" si="68"/>
        <v>0</v>
      </c>
      <c r="AU70" s="1100"/>
      <c r="AV70" s="1083"/>
      <c r="AW70" s="1084"/>
      <c r="AX70" s="1100">
        <f t="shared" si="65"/>
        <v>0</v>
      </c>
      <c r="AY70" s="1085">
        <f t="shared" si="69"/>
        <v>0</v>
      </c>
      <c r="AZ70" s="1019"/>
      <c r="BA70" s="1019">
        <v>0</v>
      </c>
      <c r="BB70" s="1019"/>
      <c r="BC70" s="1088">
        <f t="shared" si="70"/>
        <v>0</v>
      </c>
      <c r="BD70" s="1088">
        <f t="shared" si="66"/>
        <v>0</v>
      </c>
      <c r="BE70" s="1091">
        <f t="shared" si="67"/>
        <v>0</v>
      </c>
      <c r="BF70" s="1090">
        <f t="shared" si="36"/>
        <v>0</v>
      </c>
      <c r="BG70" s="1090">
        <f t="shared" si="71"/>
        <v>0</v>
      </c>
      <c r="BH70" s="445"/>
      <c r="BI70" s="433"/>
      <c r="BJ70" s="433"/>
      <c r="BK70" s="433"/>
    </row>
    <row r="71" spans="1:63" ht="15" customHeight="1">
      <c r="A71" s="630" t="s">
        <v>744</v>
      </c>
      <c r="B71" s="1083"/>
      <c r="C71" s="1083"/>
      <c r="D71" s="1084"/>
      <c r="E71" s="1099">
        <f>SUM(C71+D71)</f>
        <v>0</v>
      </c>
      <c r="F71" s="1085"/>
      <c r="G71" s="1100"/>
      <c r="H71" s="1083"/>
      <c r="I71" s="1084"/>
      <c r="J71" s="1100">
        <f t="shared" si="57"/>
        <v>0</v>
      </c>
      <c r="K71" s="1085"/>
      <c r="L71" s="1100"/>
      <c r="M71" s="1083"/>
      <c r="N71" s="1084"/>
      <c r="O71" s="1099">
        <f t="shared" si="58"/>
        <v>0</v>
      </c>
      <c r="P71" s="1085"/>
      <c r="Q71" s="1100"/>
      <c r="R71" s="1083"/>
      <c r="S71" s="1084"/>
      <c r="T71" s="1100">
        <f t="shared" si="59"/>
        <v>0</v>
      </c>
      <c r="U71" s="1085"/>
      <c r="V71" s="1100"/>
      <c r="W71" s="1083"/>
      <c r="X71" s="1084"/>
      <c r="Y71" s="1100">
        <f t="shared" si="60"/>
        <v>0</v>
      </c>
      <c r="Z71" s="1100"/>
      <c r="AA71" s="1100"/>
      <c r="AB71" s="1083"/>
      <c r="AC71" s="1084"/>
      <c r="AD71" s="1099">
        <f t="shared" si="61"/>
        <v>0</v>
      </c>
      <c r="AE71" s="1085"/>
      <c r="AF71" s="1100"/>
      <c r="AG71" s="1083"/>
      <c r="AH71" s="1084"/>
      <c r="AI71" s="1099">
        <f t="shared" si="62"/>
        <v>0</v>
      </c>
      <c r="AJ71" s="1085"/>
      <c r="AK71" s="1100"/>
      <c r="AL71" s="1083"/>
      <c r="AM71" s="1084"/>
      <c r="AN71" s="1099">
        <f t="shared" si="63"/>
        <v>0</v>
      </c>
      <c r="AO71" s="1085"/>
      <c r="AP71" s="1100"/>
      <c r="AQ71" s="1083"/>
      <c r="AR71" s="1084"/>
      <c r="AS71" s="1100">
        <f t="shared" si="64"/>
        <v>0</v>
      </c>
      <c r="AT71" s="1085">
        <f t="shared" si="68"/>
        <v>0</v>
      </c>
      <c r="AU71" s="1100"/>
      <c r="AV71" s="1083"/>
      <c r="AW71" s="1084"/>
      <c r="AX71" s="1100">
        <f t="shared" si="65"/>
        <v>0</v>
      </c>
      <c r="AY71" s="1085">
        <f t="shared" si="69"/>
        <v>0</v>
      </c>
      <c r="AZ71" s="1019"/>
      <c r="BA71" s="1019">
        <v>0</v>
      </c>
      <c r="BB71" s="1019"/>
      <c r="BC71" s="1088">
        <f t="shared" si="70"/>
        <v>0</v>
      </c>
      <c r="BD71" s="1088">
        <f t="shared" si="66"/>
        <v>0</v>
      </c>
      <c r="BE71" s="1091">
        <f t="shared" si="67"/>
        <v>0</v>
      </c>
      <c r="BF71" s="1090">
        <f t="shared" si="36"/>
        <v>0</v>
      </c>
      <c r="BG71" s="1090">
        <f t="shared" si="71"/>
        <v>0</v>
      </c>
      <c r="BH71" s="445"/>
      <c r="BI71" s="433"/>
      <c r="BJ71" s="433"/>
      <c r="BK71" s="433"/>
    </row>
    <row r="72" spans="1:63" ht="15" customHeight="1">
      <c r="A72" s="1092" t="s">
        <v>745</v>
      </c>
      <c r="B72" s="1083"/>
      <c r="C72" s="1083"/>
      <c r="D72" s="1084"/>
      <c r="E72" s="1099">
        <v>1248594</v>
      </c>
      <c r="F72" s="1085">
        <v>1248594</v>
      </c>
      <c r="G72" s="1100"/>
      <c r="H72" s="1083"/>
      <c r="I72" s="1084"/>
      <c r="J72" s="1100">
        <f t="shared" si="57"/>
        <v>0</v>
      </c>
      <c r="K72" s="1085"/>
      <c r="L72" s="1100"/>
      <c r="M72" s="1083"/>
      <c r="N72" s="1084"/>
      <c r="O72" s="1099">
        <f t="shared" si="58"/>
        <v>0</v>
      </c>
      <c r="P72" s="1085"/>
      <c r="Q72" s="1100"/>
      <c r="R72" s="1083"/>
      <c r="S72" s="1084"/>
      <c r="T72" s="1100">
        <f t="shared" si="59"/>
        <v>0</v>
      </c>
      <c r="U72" s="1085"/>
      <c r="V72" s="1100"/>
      <c r="W72" s="1083"/>
      <c r="X72" s="1084"/>
      <c r="Y72" s="1100">
        <f t="shared" si="60"/>
        <v>0</v>
      </c>
      <c r="Z72" s="1100"/>
      <c r="AA72" s="1100"/>
      <c r="AB72" s="1083"/>
      <c r="AC72" s="1084"/>
      <c r="AD72" s="1099">
        <f t="shared" si="61"/>
        <v>0</v>
      </c>
      <c r="AE72" s="1085"/>
      <c r="AF72" s="1083"/>
      <c r="AG72" s="1083"/>
      <c r="AH72" s="1084"/>
      <c r="AI72" s="1099">
        <f t="shared" si="62"/>
        <v>0</v>
      </c>
      <c r="AJ72" s="1085"/>
      <c r="AK72" s="1100"/>
      <c r="AL72" s="1083"/>
      <c r="AM72" s="1084"/>
      <c r="AN72" s="1099">
        <f t="shared" si="63"/>
        <v>0</v>
      </c>
      <c r="AO72" s="1085"/>
      <c r="AP72" s="1100"/>
      <c r="AQ72" s="1083"/>
      <c r="AR72" s="1084"/>
      <c r="AS72" s="1100">
        <f t="shared" si="64"/>
        <v>0</v>
      </c>
      <c r="AT72" s="1085">
        <f t="shared" si="68"/>
        <v>0</v>
      </c>
      <c r="AU72" s="1083"/>
      <c r="AV72" s="1083"/>
      <c r="AW72" s="1084"/>
      <c r="AX72" s="1100">
        <f t="shared" si="65"/>
        <v>0</v>
      </c>
      <c r="AY72" s="1085">
        <f t="shared" si="69"/>
        <v>0</v>
      </c>
      <c r="AZ72" s="1019"/>
      <c r="BA72" s="1019">
        <v>12883982</v>
      </c>
      <c r="BB72" s="1019">
        <v>12883982</v>
      </c>
      <c r="BC72" s="1088">
        <f t="shared" si="70"/>
        <v>0</v>
      </c>
      <c r="BD72" s="1088">
        <f t="shared" si="66"/>
        <v>0</v>
      </c>
      <c r="BE72" s="1091">
        <f t="shared" si="67"/>
        <v>0</v>
      </c>
      <c r="BF72" s="1090">
        <f t="shared" si="36"/>
        <v>14132576</v>
      </c>
      <c r="BG72" s="1090">
        <f t="shared" si="71"/>
        <v>14132576</v>
      </c>
      <c r="BH72" s="445"/>
      <c r="BI72" s="433"/>
      <c r="BJ72" s="433"/>
      <c r="BK72" s="433"/>
    </row>
    <row r="73" spans="1:63" ht="15" customHeight="1">
      <c r="A73" s="1107" t="s">
        <v>746</v>
      </c>
      <c r="B73" s="1083"/>
      <c r="C73" s="1083"/>
      <c r="D73" s="1084"/>
      <c r="E73" s="1099">
        <f>SUM(C73+D73)</f>
        <v>0</v>
      </c>
      <c r="F73" s="1085"/>
      <c r="G73" s="1100"/>
      <c r="H73" s="1083"/>
      <c r="I73" s="1084"/>
      <c r="J73" s="1100">
        <f t="shared" si="57"/>
        <v>0</v>
      </c>
      <c r="K73" s="1085"/>
      <c r="L73" s="1100"/>
      <c r="M73" s="1083"/>
      <c r="N73" s="1084"/>
      <c r="O73" s="1099">
        <f t="shared" si="58"/>
        <v>0</v>
      </c>
      <c r="P73" s="1085"/>
      <c r="Q73" s="1100"/>
      <c r="R73" s="1083"/>
      <c r="S73" s="1084"/>
      <c r="T73" s="1100">
        <f t="shared" si="59"/>
        <v>0</v>
      </c>
      <c r="U73" s="1085"/>
      <c r="V73" s="1083"/>
      <c r="W73" s="1083"/>
      <c r="X73" s="1084"/>
      <c r="Y73" s="1100">
        <f t="shared" si="60"/>
        <v>0</v>
      </c>
      <c r="Z73" s="1100"/>
      <c r="AA73" s="1100">
        <v>991000</v>
      </c>
      <c r="AB73" s="1083">
        <v>991000</v>
      </c>
      <c r="AC73" s="1084"/>
      <c r="AD73" s="1099">
        <f t="shared" si="61"/>
        <v>991000</v>
      </c>
      <c r="AE73" s="1085">
        <f>600000+55000</f>
        <v>655000</v>
      </c>
      <c r="AF73" s="1100"/>
      <c r="AG73" s="1083"/>
      <c r="AH73" s="1084"/>
      <c r="AI73" s="1099">
        <f t="shared" si="62"/>
        <v>0</v>
      </c>
      <c r="AJ73" s="1085"/>
      <c r="AK73" s="1100"/>
      <c r="AL73" s="1083"/>
      <c r="AM73" s="1084"/>
      <c r="AN73" s="1099">
        <f t="shared" si="63"/>
        <v>0</v>
      </c>
      <c r="AO73" s="1085"/>
      <c r="AP73" s="1100"/>
      <c r="AQ73" s="1083"/>
      <c r="AR73" s="1084"/>
      <c r="AS73" s="1100">
        <f t="shared" si="64"/>
        <v>0</v>
      </c>
      <c r="AT73" s="1085">
        <f t="shared" si="68"/>
        <v>0</v>
      </c>
      <c r="AU73" s="1100"/>
      <c r="AV73" s="1083"/>
      <c r="AW73" s="1084"/>
      <c r="AX73" s="1100">
        <f t="shared" si="65"/>
        <v>0</v>
      </c>
      <c r="AY73" s="1085">
        <f t="shared" si="69"/>
        <v>0</v>
      </c>
      <c r="AZ73" s="1019"/>
      <c r="BA73" s="1019">
        <v>0</v>
      </c>
      <c r="BB73" s="1019"/>
      <c r="BC73" s="1088">
        <f t="shared" si="70"/>
        <v>991000</v>
      </c>
      <c r="BD73" s="1088">
        <f t="shared" si="66"/>
        <v>991000</v>
      </c>
      <c r="BE73" s="1091">
        <f t="shared" si="67"/>
        <v>0</v>
      </c>
      <c r="BF73" s="1090">
        <f t="shared" si="36"/>
        <v>991000</v>
      </c>
      <c r="BG73" s="1090">
        <f t="shared" si="71"/>
        <v>655000</v>
      </c>
      <c r="BH73" s="445"/>
      <c r="BI73" s="433"/>
      <c r="BJ73" s="433"/>
      <c r="BK73" s="433"/>
    </row>
    <row r="74" spans="1:63" ht="15" hidden="1" customHeight="1">
      <c r="A74" s="1107" t="s">
        <v>747</v>
      </c>
      <c r="B74" s="1083"/>
      <c r="C74" s="1083"/>
      <c r="D74" s="1084"/>
      <c r="E74" s="1099">
        <f>SUM(C74+D74)</f>
        <v>0</v>
      </c>
      <c r="F74" s="1085"/>
      <c r="G74" s="1100"/>
      <c r="H74" s="1083"/>
      <c r="I74" s="1084"/>
      <c r="J74" s="1100">
        <f t="shared" si="57"/>
        <v>0</v>
      </c>
      <c r="K74" s="1085"/>
      <c r="L74" s="1083"/>
      <c r="M74" s="1083"/>
      <c r="N74" s="1084"/>
      <c r="O74" s="1099">
        <f t="shared" si="58"/>
        <v>0</v>
      </c>
      <c r="P74" s="1085"/>
      <c r="Q74" s="1100"/>
      <c r="R74" s="1083"/>
      <c r="S74" s="1084"/>
      <c r="T74" s="1100">
        <f t="shared" si="59"/>
        <v>0</v>
      </c>
      <c r="U74" s="1085"/>
      <c r="V74" s="1100"/>
      <c r="W74" s="1083"/>
      <c r="X74" s="1084"/>
      <c r="Y74" s="1100">
        <f t="shared" si="60"/>
        <v>0</v>
      </c>
      <c r="Z74" s="1100"/>
      <c r="AA74" s="1100"/>
      <c r="AB74" s="1083"/>
      <c r="AC74" s="1084"/>
      <c r="AD74" s="1099">
        <f t="shared" si="61"/>
        <v>0</v>
      </c>
      <c r="AE74" s="1085"/>
      <c r="AF74" s="1100"/>
      <c r="AG74" s="1083"/>
      <c r="AH74" s="1084"/>
      <c r="AI74" s="1099">
        <f t="shared" si="62"/>
        <v>0</v>
      </c>
      <c r="AJ74" s="1085"/>
      <c r="AK74" s="1100"/>
      <c r="AL74" s="1083"/>
      <c r="AM74" s="1084"/>
      <c r="AN74" s="1099">
        <f t="shared" si="63"/>
        <v>0</v>
      </c>
      <c r="AO74" s="1085"/>
      <c r="AP74" s="1100"/>
      <c r="AQ74" s="1083"/>
      <c r="AR74" s="1084"/>
      <c r="AS74" s="1100">
        <f t="shared" si="64"/>
        <v>0</v>
      </c>
      <c r="AT74" s="1085">
        <f t="shared" si="68"/>
        <v>0</v>
      </c>
      <c r="AU74" s="1100"/>
      <c r="AV74" s="1083"/>
      <c r="AW74" s="1084"/>
      <c r="AX74" s="1100">
        <f t="shared" si="65"/>
        <v>0</v>
      </c>
      <c r="AY74" s="1085">
        <f t="shared" si="69"/>
        <v>0</v>
      </c>
      <c r="AZ74" s="1019"/>
      <c r="BA74" s="1019"/>
      <c r="BB74" s="1019"/>
      <c r="BC74" s="1088">
        <f t="shared" si="70"/>
        <v>0</v>
      </c>
      <c r="BD74" s="1088">
        <f t="shared" si="66"/>
        <v>0</v>
      </c>
      <c r="BE74" s="1091">
        <f t="shared" si="67"/>
        <v>0</v>
      </c>
      <c r="BF74" s="1090">
        <f t="shared" si="36"/>
        <v>0</v>
      </c>
      <c r="BG74" s="1090">
        <f t="shared" si="71"/>
        <v>0</v>
      </c>
      <c r="BH74" s="445"/>
      <c r="BI74" s="433"/>
      <c r="BJ74" s="433"/>
      <c r="BK74" s="433"/>
    </row>
    <row r="75" spans="1:63" ht="15" hidden="1" customHeight="1">
      <c r="A75" s="1093" t="s">
        <v>748</v>
      </c>
      <c r="B75" s="1083"/>
      <c r="C75" s="1083"/>
      <c r="D75" s="1084"/>
      <c r="E75" s="1099">
        <f>SUM(C75+D75)</f>
        <v>0</v>
      </c>
      <c r="F75" s="1085"/>
      <c r="G75" s="1100"/>
      <c r="H75" s="1083"/>
      <c r="I75" s="1084"/>
      <c r="J75" s="1100">
        <f t="shared" si="57"/>
        <v>0</v>
      </c>
      <c r="K75" s="1085"/>
      <c r="L75" s="1100"/>
      <c r="M75" s="1083"/>
      <c r="N75" s="1084"/>
      <c r="O75" s="1099">
        <f t="shared" si="58"/>
        <v>0</v>
      </c>
      <c r="P75" s="1085"/>
      <c r="Q75" s="1100"/>
      <c r="R75" s="1083"/>
      <c r="S75" s="1084"/>
      <c r="T75" s="1100">
        <f t="shared" si="59"/>
        <v>0</v>
      </c>
      <c r="U75" s="1085"/>
      <c r="V75" s="1100"/>
      <c r="W75" s="1083"/>
      <c r="X75" s="1084"/>
      <c r="Y75" s="1100">
        <f t="shared" si="60"/>
        <v>0</v>
      </c>
      <c r="Z75" s="1100"/>
      <c r="AA75" s="1100"/>
      <c r="AB75" s="1083"/>
      <c r="AC75" s="1084"/>
      <c r="AD75" s="1099">
        <f t="shared" si="61"/>
        <v>0</v>
      </c>
      <c r="AE75" s="1085"/>
      <c r="AF75" s="1100"/>
      <c r="AG75" s="1083"/>
      <c r="AH75" s="1084"/>
      <c r="AI75" s="1099">
        <f t="shared" si="62"/>
        <v>0</v>
      </c>
      <c r="AJ75" s="1085"/>
      <c r="AK75" s="1100"/>
      <c r="AL75" s="1083"/>
      <c r="AM75" s="1084"/>
      <c r="AN75" s="1099">
        <f t="shared" si="63"/>
        <v>0</v>
      </c>
      <c r="AO75" s="1085"/>
      <c r="AP75" s="1100"/>
      <c r="AQ75" s="1083"/>
      <c r="AR75" s="1084"/>
      <c r="AS75" s="1100">
        <f t="shared" si="64"/>
        <v>0</v>
      </c>
      <c r="AT75" s="1085">
        <f t="shared" si="68"/>
        <v>0</v>
      </c>
      <c r="AU75" s="1100"/>
      <c r="AV75" s="1083"/>
      <c r="AW75" s="1084"/>
      <c r="AX75" s="1100">
        <f t="shared" si="65"/>
        <v>0</v>
      </c>
      <c r="AY75" s="1085">
        <f t="shared" si="69"/>
        <v>0</v>
      </c>
      <c r="AZ75" s="1019"/>
      <c r="BA75" s="1019"/>
      <c r="BB75" s="1019"/>
      <c r="BC75" s="1088">
        <f t="shared" si="70"/>
        <v>0</v>
      </c>
      <c r="BD75" s="1088">
        <f t="shared" si="66"/>
        <v>0</v>
      </c>
      <c r="BE75" s="1091">
        <f t="shared" si="67"/>
        <v>0</v>
      </c>
      <c r="BF75" s="1090">
        <f t="shared" si="36"/>
        <v>0</v>
      </c>
      <c r="BG75" s="1090">
        <f t="shared" si="71"/>
        <v>0</v>
      </c>
    </row>
    <row r="76" spans="1:63" ht="15" hidden="1" customHeight="1">
      <c r="A76" s="1093" t="s">
        <v>749</v>
      </c>
      <c r="B76" s="1083"/>
      <c r="C76" s="1083"/>
      <c r="D76" s="1084"/>
      <c r="E76" s="1099">
        <f>SUM(C76+D76)</f>
        <v>0</v>
      </c>
      <c r="F76" s="1085"/>
      <c r="G76" s="1100"/>
      <c r="H76" s="1083"/>
      <c r="I76" s="1084"/>
      <c r="J76" s="1100">
        <f t="shared" si="57"/>
        <v>0</v>
      </c>
      <c r="K76" s="1085"/>
      <c r="L76" s="1100"/>
      <c r="M76" s="1083"/>
      <c r="N76" s="1084"/>
      <c r="O76" s="1099">
        <f t="shared" si="58"/>
        <v>0</v>
      </c>
      <c r="P76" s="1085"/>
      <c r="Q76" s="1100"/>
      <c r="R76" s="1083"/>
      <c r="S76" s="1084"/>
      <c r="T76" s="1100">
        <f t="shared" si="59"/>
        <v>0</v>
      </c>
      <c r="U76" s="1085"/>
      <c r="V76" s="1100"/>
      <c r="W76" s="1083"/>
      <c r="X76" s="1084"/>
      <c r="Y76" s="1100">
        <f t="shared" si="60"/>
        <v>0</v>
      </c>
      <c r="Z76" s="1100"/>
      <c r="AA76" s="1100"/>
      <c r="AB76" s="1083"/>
      <c r="AC76" s="1084"/>
      <c r="AD76" s="1099">
        <f t="shared" si="61"/>
        <v>0</v>
      </c>
      <c r="AE76" s="1085"/>
      <c r="AF76" s="1100"/>
      <c r="AG76" s="1083"/>
      <c r="AH76" s="1084"/>
      <c r="AI76" s="1099">
        <f t="shared" si="62"/>
        <v>0</v>
      </c>
      <c r="AJ76" s="1085"/>
      <c r="AK76" s="1100"/>
      <c r="AL76" s="1083"/>
      <c r="AM76" s="1084"/>
      <c r="AN76" s="1099">
        <f t="shared" si="63"/>
        <v>0</v>
      </c>
      <c r="AO76" s="1085"/>
      <c r="AP76" s="1100"/>
      <c r="AQ76" s="1083"/>
      <c r="AR76" s="1084"/>
      <c r="AS76" s="1100">
        <f t="shared" si="64"/>
        <v>0</v>
      </c>
      <c r="AT76" s="1085">
        <f t="shared" si="68"/>
        <v>0</v>
      </c>
      <c r="AU76" s="1100"/>
      <c r="AV76" s="1083"/>
      <c r="AW76" s="1084"/>
      <c r="AX76" s="1100">
        <f t="shared" si="65"/>
        <v>0</v>
      </c>
      <c r="AY76" s="1085">
        <f t="shared" si="69"/>
        <v>0</v>
      </c>
      <c r="AZ76" s="1019"/>
      <c r="BA76" s="1019"/>
      <c r="BB76" s="1019"/>
      <c r="BC76" s="1088">
        <f t="shared" si="70"/>
        <v>0</v>
      </c>
      <c r="BD76" s="1088">
        <f t="shared" si="66"/>
        <v>0</v>
      </c>
      <c r="BE76" s="1091">
        <f t="shared" si="67"/>
        <v>0</v>
      </c>
      <c r="BF76" s="1090">
        <f t="shared" si="36"/>
        <v>0</v>
      </c>
      <c r="BG76" s="1090">
        <f t="shared" si="71"/>
        <v>0</v>
      </c>
    </row>
    <row r="77" spans="1:63" ht="15" customHeight="1">
      <c r="A77" s="1107" t="s">
        <v>750</v>
      </c>
      <c r="B77" s="1083"/>
      <c r="C77" s="1083"/>
      <c r="D77" s="1084"/>
      <c r="E77" s="1099">
        <v>329810</v>
      </c>
      <c r="F77" s="1085">
        <v>329810</v>
      </c>
      <c r="G77" s="1100"/>
      <c r="H77" s="1083"/>
      <c r="I77" s="1084"/>
      <c r="J77" s="1100">
        <f t="shared" si="57"/>
        <v>0</v>
      </c>
      <c r="K77" s="1085"/>
      <c r="L77" s="1083">
        <v>1550000</v>
      </c>
      <c r="M77" s="1083">
        <v>1550000</v>
      </c>
      <c r="N77" s="1084"/>
      <c r="O77" s="1099">
        <v>4916063</v>
      </c>
      <c r="P77" s="1085">
        <f>4462736+1063</f>
        <v>4463799</v>
      </c>
      <c r="Q77" s="1100"/>
      <c r="R77" s="1083"/>
      <c r="S77" s="1084"/>
      <c r="T77" s="1100">
        <f t="shared" si="59"/>
        <v>0</v>
      </c>
      <c r="U77" s="1085"/>
      <c r="V77" s="1100"/>
      <c r="W77" s="1083"/>
      <c r="X77" s="1084"/>
      <c r="Y77" s="1100">
        <f t="shared" si="60"/>
        <v>0</v>
      </c>
      <c r="Z77" s="1100"/>
      <c r="AA77" s="1100">
        <v>3800000</v>
      </c>
      <c r="AB77" s="1083">
        <v>3800000</v>
      </c>
      <c r="AC77" s="1084"/>
      <c r="AD77" s="1099">
        <v>4428350</v>
      </c>
      <c r="AE77" s="1085">
        <v>4428008</v>
      </c>
      <c r="AF77" s="1100"/>
      <c r="AG77" s="1083"/>
      <c r="AH77" s="1084"/>
      <c r="AI77" s="1099">
        <v>218447</v>
      </c>
      <c r="AJ77" s="1085">
        <v>5987</v>
      </c>
      <c r="AK77" s="1100">
        <v>1020000</v>
      </c>
      <c r="AL77" s="1083">
        <v>1020000</v>
      </c>
      <c r="AM77" s="1084"/>
      <c r="AN77" s="1099">
        <v>1073670</v>
      </c>
      <c r="AO77" s="1085">
        <f>633466+153670</f>
        <v>787136</v>
      </c>
      <c r="AP77" s="1100"/>
      <c r="AQ77" s="1083"/>
      <c r="AR77" s="1084"/>
      <c r="AS77" s="1100">
        <f t="shared" si="64"/>
        <v>0</v>
      </c>
      <c r="AT77" s="1085">
        <f t="shared" si="68"/>
        <v>0</v>
      </c>
      <c r="AU77" s="1100"/>
      <c r="AV77" s="1083"/>
      <c r="AW77" s="1084"/>
      <c r="AX77" s="1100">
        <f t="shared" si="65"/>
        <v>0</v>
      </c>
      <c r="AY77" s="1085">
        <f t="shared" si="69"/>
        <v>0</v>
      </c>
      <c r="AZ77" s="1019"/>
      <c r="BA77" s="1019">
        <v>0</v>
      </c>
      <c r="BB77" s="1019"/>
      <c r="BC77" s="1088">
        <f t="shared" si="70"/>
        <v>6370000</v>
      </c>
      <c r="BD77" s="1088">
        <f t="shared" si="66"/>
        <v>6370000</v>
      </c>
      <c r="BE77" s="1091">
        <f t="shared" si="67"/>
        <v>0</v>
      </c>
      <c r="BF77" s="1090">
        <f t="shared" si="36"/>
        <v>10966340</v>
      </c>
      <c r="BG77" s="1090">
        <f t="shared" si="71"/>
        <v>10014740</v>
      </c>
      <c r="BH77" s="445"/>
      <c r="BI77" s="433"/>
      <c r="BJ77" s="433"/>
      <c r="BK77" s="433"/>
    </row>
    <row r="78" spans="1:63" ht="15" hidden="1" customHeight="1">
      <c r="A78" s="1107" t="s">
        <v>751</v>
      </c>
      <c r="B78" s="1083"/>
      <c r="C78" s="1083"/>
      <c r="D78" s="1084"/>
      <c r="E78" s="1099">
        <f>SUM(C78+D78)</f>
        <v>0</v>
      </c>
      <c r="F78" s="1085"/>
      <c r="G78" s="1100"/>
      <c r="H78" s="1083"/>
      <c r="I78" s="1084"/>
      <c r="J78" s="1100">
        <f t="shared" si="57"/>
        <v>0</v>
      </c>
      <c r="K78" s="1085"/>
      <c r="L78" s="1100"/>
      <c r="M78" s="1083"/>
      <c r="N78" s="1084"/>
      <c r="O78" s="1099">
        <f>SUM(M78+N78)</f>
        <v>0</v>
      </c>
      <c r="P78" s="1085"/>
      <c r="Q78" s="1100"/>
      <c r="R78" s="1083"/>
      <c r="S78" s="1084"/>
      <c r="T78" s="1100">
        <f t="shared" si="59"/>
        <v>0</v>
      </c>
      <c r="U78" s="1085"/>
      <c r="V78" s="1100"/>
      <c r="W78" s="1083"/>
      <c r="X78" s="1084"/>
      <c r="Y78" s="1100">
        <f t="shared" si="60"/>
        <v>0</v>
      </c>
      <c r="Z78" s="1100"/>
      <c r="AA78" s="1100"/>
      <c r="AB78" s="1083"/>
      <c r="AC78" s="1084"/>
      <c r="AD78" s="1099">
        <f>SUM(AB78+AC78)</f>
        <v>0</v>
      </c>
      <c r="AE78" s="1085"/>
      <c r="AF78" s="1100"/>
      <c r="AG78" s="1083"/>
      <c r="AH78" s="1084"/>
      <c r="AI78" s="1099">
        <f>SUM(AG78+AH78)</f>
        <v>0</v>
      </c>
      <c r="AJ78" s="1085"/>
      <c r="AK78" s="1100"/>
      <c r="AL78" s="1083"/>
      <c r="AM78" s="1084"/>
      <c r="AN78" s="1099">
        <f>SUM(AL78+AM78)</f>
        <v>0</v>
      </c>
      <c r="AO78" s="1085"/>
      <c r="AP78" s="1100"/>
      <c r="AQ78" s="1083"/>
      <c r="AR78" s="1084"/>
      <c r="AS78" s="1100">
        <f t="shared" si="64"/>
        <v>0</v>
      </c>
      <c r="AT78" s="1085">
        <f t="shared" si="68"/>
        <v>0</v>
      </c>
      <c r="AU78" s="1100"/>
      <c r="AV78" s="1083"/>
      <c r="AW78" s="1084"/>
      <c r="AX78" s="1100">
        <f t="shared" si="65"/>
        <v>0</v>
      </c>
      <c r="AY78" s="1085">
        <f t="shared" si="69"/>
        <v>0</v>
      </c>
      <c r="AZ78" s="1019"/>
      <c r="BA78" s="1019"/>
      <c r="BB78" s="1019"/>
      <c r="BC78" s="1088">
        <f t="shared" si="70"/>
        <v>0</v>
      </c>
      <c r="BD78" s="1088">
        <f t="shared" si="66"/>
        <v>0</v>
      </c>
      <c r="BE78" s="1091">
        <f t="shared" si="67"/>
        <v>0</v>
      </c>
      <c r="BF78" s="1090">
        <f t="shared" si="36"/>
        <v>0</v>
      </c>
      <c r="BG78" s="1090">
        <f t="shared" si="71"/>
        <v>0</v>
      </c>
      <c r="BH78" s="445"/>
      <c r="BI78" s="433"/>
      <c r="BJ78" s="433"/>
      <c r="BK78" s="433"/>
    </row>
    <row r="79" spans="1:63" ht="15" customHeight="1">
      <c r="A79" s="630" t="s">
        <v>752</v>
      </c>
      <c r="B79" s="1083"/>
      <c r="C79" s="1083"/>
      <c r="D79" s="1084"/>
      <c r="E79" s="1099">
        <f>SUM(C79+D79)</f>
        <v>0</v>
      </c>
      <c r="F79" s="1085"/>
      <c r="G79" s="1100"/>
      <c r="H79" s="1083"/>
      <c r="I79" s="1084"/>
      <c r="J79" s="1100">
        <f t="shared" si="57"/>
        <v>0</v>
      </c>
      <c r="K79" s="1085"/>
      <c r="L79" s="1100"/>
      <c r="M79" s="1083"/>
      <c r="N79" s="1084"/>
      <c r="O79" s="1099">
        <f>SUM(M79+N79)</f>
        <v>0</v>
      </c>
      <c r="P79" s="1085"/>
      <c r="Q79" s="1100"/>
      <c r="R79" s="1083"/>
      <c r="S79" s="1084"/>
      <c r="T79" s="1100">
        <f t="shared" si="59"/>
        <v>0</v>
      </c>
      <c r="U79" s="1085"/>
      <c r="V79" s="1100"/>
      <c r="W79" s="1083"/>
      <c r="X79" s="1084"/>
      <c r="Y79" s="1100">
        <f t="shared" si="60"/>
        <v>0</v>
      </c>
      <c r="Z79" s="1100"/>
      <c r="AA79" s="1100"/>
      <c r="AB79" s="1083"/>
      <c r="AC79" s="1084"/>
      <c r="AD79" s="1099">
        <f>SUM(AB79+AC79)</f>
        <v>0</v>
      </c>
      <c r="AE79" s="1085"/>
      <c r="AF79" s="1100"/>
      <c r="AG79" s="1083"/>
      <c r="AH79" s="1084"/>
      <c r="AI79" s="1099">
        <f>SUM(AG79+AH79)</f>
        <v>0</v>
      </c>
      <c r="AJ79" s="1085"/>
      <c r="AK79" s="1100"/>
      <c r="AL79" s="1083"/>
      <c r="AM79" s="1084"/>
      <c r="AN79" s="1099">
        <f>SUM(AL79+AM79)</f>
        <v>0</v>
      </c>
      <c r="AO79" s="1085"/>
      <c r="AP79" s="1100"/>
      <c r="AQ79" s="1083"/>
      <c r="AR79" s="1084"/>
      <c r="AS79" s="1100">
        <f t="shared" si="64"/>
        <v>0</v>
      </c>
      <c r="AT79" s="1085">
        <f t="shared" si="68"/>
        <v>0</v>
      </c>
      <c r="AU79" s="1100"/>
      <c r="AV79" s="1083"/>
      <c r="AW79" s="1084"/>
      <c r="AX79" s="1100">
        <f t="shared" si="65"/>
        <v>0</v>
      </c>
      <c r="AY79" s="1085">
        <f t="shared" si="69"/>
        <v>0</v>
      </c>
      <c r="AZ79" s="1019"/>
      <c r="BA79" s="1019">
        <v>0</v>
      </c>
      <c r="BB79" s="1019"/>
      <c r="BC79" s="1088">
        <f t="shared" si="70"/>
        <v>0</v>
      </c>
      <c r="BD79" s="1088">
        <f t="shared" si="66"/>
        <v>0</v>
      </c>
      <c r="BE79" s="1091">
        <f t="shared" si="67"/>
        <v>0</v>
      </c>
      <c r="BF79" s="1090">
        <f t="shared" ref="BF79:BF108" si="72">SUM(E79+O79+AD79+AI79+AN79+BA79)</f>
        <v>0</v>
      </c>
      <c r="BG79" s="1090">
        <f t="shared" si="71"/>
        <v>0</v>
      </c>
      <c r="BH79" s="445"/>
      <c r="BI79" s="433"/>
      <c r="BJ79" s="433"/>
      <c r="BK79" s="433"/>
    </row>
    <row r="80" spans="1:63" ht="15" customHeight="1">
      <c r="A80" s="630" t="s">
        <v>753</v>
      </c>
      <c r="B80" s="1083"/>
      <c r="C80" s="1083"/>
      <c r="D80" s="1084"/>
      <c r="E80" s="1099">
        <f>SUM(C80+D80)</f>
        <v>0</v>
      </c>
      <c r="F80" s="1085"/>
      <c r="G80" s="1100"/>
      <c r="H80" s="1083"/>
      <c r="I80" s="1084"/>
      <c r="J80" s="1100">
        <f t="shared" si="57"/>
        <v>0</v>
      </c>
      <c r="K80" s="1085"/>
      <c r="L80" s="1100"/>
      <c r="M80" s="1083"/>
      <c r="N80" s="1084"/>
      <c r="O80" s="1099">
        <f>SUM(M80+N80)</f>
        <v>0</v>
      </c>
      <c r="P80" s="1085"/>
      <c r="Q80" s="1100"/>
      <c r="R80" s="1083"/>
      <c r="S80" s="1084"/>
      <c r="T80" s="1100">
        <f t="shared" si="59"/>
        <v>0</v>
      </c>
      <c r="U80" s="1085"/>
      <c r="V80" s="1100"/>
      <c r="W80" s="1083"/>
      <c r="X80" s="1084"/>
      <c r="Y80" s="1100">
        <f t="shared" si="60"/>
        <v>0</v>
      </c>
      <c r="Z80" s="1100"/>
      <c r="AA80" s="1100"/>
      <c r="AB80" s="1083"/>
      <c r="AC80" s="1084"/>
      <c r="AD80" s="1099">
        <f>SUM(AB80+AC80)</f>
        <v>0</v>
      </c>
      <c r="AE80" s="1085"/>
      <c r="AF80" s="1100"/>
      <c r="AG80" s="1083"/>
      <c r="AH80" s="1084"/>
      <c r="AI80" s="1099">
        <v>200000</v>
      </c>
      <c r="AJ80" s="1085">
        <v>207850</v>
      </c>
      <c r="AK80" s="1100"/>
      <c r="AL80" s="1083"/>
      <c r="AM80" s="1084"/>
      <c r="AN80" s="1099">
        <f>SUM(AL80+AM80)</f>
        <v>0</v>
      </c>
      <c r="AO80" s="1085"/>
      <c r="AP80" s="1100"/>
      <c r="AQ80" s="1083"/>
      <c r="AR80" s="1084"/>
      <c r="AS80" s="1100">
        <f t="shared" si="64"/>
        <v>0</v>
      </c>
      <c r="AT80" s="1085">
        <f t="shared" si="68"/>
        <v>0</v>
      </c>
      <c r="AU80" s="1100"/>
      <c r="AV80" s="1083"/>
      <c r="AW80" s="1084"/>
      <c r="AX80" s="1100">
        <f t="shared" si="65"/>
        <v>0</v>
      </c>
      <c r="AY80" s="1085">
        <f t="shared" si="69"/>
        <v>0</v>
      </c>
      <c r="AZ80" s="1019"/>
      <c r="BA80" s="1019">
        <v>0</v>
      </c>
      <c r="BB80" s="1019"/>
      <c r="BC80" s="1088">
        <f t="shared" si="70"/>
        <v>0</v>
      </c>
      <c r="BD80" s="1088">
        <f t="shared" si="66"/>
        <v>0</v>
      </c>
      <c r="BE80" s="1091">
        <f t="shared" si="67"/>
        <v>0</v>
      </c>
      <c r="BF80" s="1090">
        <f t="shared" si="72"/>
        <v>200000</v>
      </c>
      <c r="BG80" s="1090">
        <f t="shared" si="71"/>
        <v>207850</v>
      </c>
      <c r="BH80" s="445"/>
      <c r="BI80" s="433"/>
      <c r="BJ80" s="433"/>
      <c r="BK80" s="433"/>
    </row>
    <row r="81" spans="1:63" s="961" customFormat="1" ht="15" customHeight="1">
      <c r="A81" s="1054" t="s">
        <v>754</v>
      </c>
      <c r="B81" s="1023">
        <f t="shared" ref="B81:AG81" si="73">SUM(B67:B80)</f>
        <v>0</v>
      </c>
      <c r="C81" s="1023">
        <f t="shared" si="73"/>
        <v>0</v>
      </c>
      <c r="D81" s="1023">
        <f t="shared" si="73"/>
        <v>0</v>
      </c>
      <c r="E81" s="1023">
        <f t="shared" si="73"/>
        <v>1578404</v>
      </c>
      <c r="F81" s="1023">
        <f t="shared" si="73"/>
        <v>1578404</v>
      </c>
      <c r="G81" s="1023">
        <f t="shared" si="73"/>
        <v>0</v>
      </c>
      <c r="H81" s="1023">
        <f t="shared" si="73"/>
        <v>0</v>
      </c>
      <c r="I81" s="1023">
        <f t="shared" si="73"/>
        <v>0</v>
      </c>
      <c r="J81" s="1023">
        <f t="shared" si="73"/>
        <v>0</v>
      </c>
      <c r="K81" s="1023">
        <f t="shared" si="73"/>
        <v>0</v>
      </c>
      <c r="L81" s="1023">
        <f t="shared" si="73"/>
        <v>1550000</v>
      </c>
      <c r="M81" s="1023">
        <f t="shared" si="73"/>
        <v>1550000</v>
      </c>
      <c r="N81" s="1023">
        <f t="shared" si="73"/>
        <v>0</v>
      </c>
      <c r="O81" s="1023">
        <f t="shared" si="73"/>
        <v>4916063</v>
      </c>
      <c r="P81" s="1023">
        <f t="shared" si="73"/>
        <v>4463799</v>
      </c>
      <c r="Q81" s="1023">
        <f t="shared" si="73"/>
        <v>0</v>
      </c>
      <c r="R81" s="1023">
        <f t="shared" si="73"/>
        <v>0</v>
      </c>
      <c r="S81" s="1023">
        <f t="shared" si="73"/>
        <v>0</v>
      </c>
      <c r="T81" s="1023">
        <f t="shared" si="73"/>
        <v>0</v>
      </c>
      <c r="U81" s="1023">
        <f t="shared" si="73"/>
        <v>0</v>
      </c>
      <c r="V81" s="1023">
        <f t="shared" si="73"/>
        <v>0</v>
      </c>
      <c r="W81" s="1023">
        <f t="shared" si="73"/>
        <v>0</v>
      </c>
      <c r="X81" s="1023">
        <f t="shared" si="73"/>
        <v>0</v>
      </c>
      <c r="Y81" s="1023">
        <f t="shared" si="73"/>
        <v>0</v>
      </c>
      <c r="Z81" s="1023">
        <f t="shared" si="73"/>
        <v>0</v>
      </c>
      <c r="AA81" s="1023">
        <f t="shared" si="73"/>
        <v>4791000</v>
      </c>
      <c r="AB81" s="1023">
        <f t="shared" si="73"/>
        <v>4791000</v>
      </c>
      <c r="AC81" s="1023">
        <f t="shared" si="73"/>
        <v>0</v>
      </c>
      <c r="AD81" s="1023">
        <f t="shared" si="73"/>
        <v>5419350</v>
      </c>
      <c r="AE81" s="1023">
        <f t="shared" si="73"/>
        <v>5083008</v>
      </c>
      <c r="AF81" s="1023">
        <f t="shared" si="73"/>
        <v>0</v>
      </c>
      <c r="AG81" s="1023">
        <f t="shared" si="73"/>
        <v>0</v>
      </c>
      <c r="AH81" s="1023">
        <f t="shared" ref="AH81:AY81" si="74">SUM(AH67:AH80)</f>
        <v>0</v>
      </c>
      <c r="AI81" s="1023">
        <f t="shared" si="74"/>
        <v>418447</v>
      </c>
      <c r="AJ81" s="1023">
        <f t="shared" si="74"/>
        <v>213837</v>
      </c>
      <c r="AK81" s="1023">
        <f t="shared" si="74"/>
        <v>1020000</v>
      </c>
      <c r="AL81" s="1023">
        <f t="shared" si="74"/>
        <v>1020000</v>
      </c>
      <c r="AM81" s="1023">
        <f t="shared" si="74"/>
        <v>0</v>
      </c>
      <c r="AN81" s="1023">
        <f t="shared" si="74"/>
        <v>1073670</v>
      </c>
      <c r="AO81" s="1023">
        <f t="shared" si="74"/>
        <v>787136</v>
      </c>
      <c r="AP81" s="1098">
        <f t="shared" si="74"/>
        <v>0</v>
      </c>
      <c r="AQ81" s="1098">
        <f t="shared" si="74"/>
        <v>0</v>
      </c>
      <c r="AR81" s="1098">
        <f t="shared" si="74"/>
        <v>0</v>
      </c>
      <c r="AS81" s="1098">
        <f t="shared" si="74"/>
        <v>0</v>
      </c>
      <c r="AT81" s="1098">
        <f t="shared" si="74"/>
        <v>0</v>
      </c>
      <c r="AU81" s="1098">
        <f t="shared" si="74"/>
        <v>0</v>
      </c>
      <c r="AV81" s="1098">
        <f t="shared" si="74"/>
        <v>0</v>
      </c>
      <c r="AW81" s="1098">
        <f t="shared" si="74"/>
        <v>0</v>
      </c>
      <c r="AX81" s="1098">
        <f t="shared" si="74"/>
        <v>0</v>
      </c>
      <c r="AY81" s="1098">
        <f t="shared" si="74"/>
        <v>0</v>
      </c>
      <c r="AZ81" s="1023"/>
      <c r="BA81" s="1023">
        <f>SUM(BA67:BA80)</f>
        <v>12883982</v>
      </c>
      <c r="BB81" s="1023">
        <f>SUM(BB67:BB80)</f>
        <v>12883982</v>
      </c>
      <c r="BC81" s="1023">
        <f>SUM(BC67:BC80)</f>
        <v>7361000</v>
      </c>
      <c r="BD81" s="1023">
        <f>SUM(BD67:BD80)</f>
        <v>7361000</v>
      </c>
      <c r="BE81" s="1031">
        <f>SUM(BE67:BE80)</f>
        <v>0</v>
      </c>
      <c r="BF81" s="1663">
        <f t="shared" si="72"/>
        <v>26289916</v>
      </c>
      <c r="BG81" s="1663">
        <f t="shared" si="71"/>
        <v>25010166</v>
      </c>
      <c r="BH81" s="435"/>
      <c r="BI81" s="1102"/>
      <c r="BJ81" s="1102"/>
      <c r="BK81" s="1102"/>
    </row>
    <row r="82" spans="1:63" ht="15" customHeight="1">
      <c r="A82" s="630" t="s">
        <v>755</v>
      </c>
      <c r="B82" s="1094"/>
      <c r="C82" s="1094"/>
      <c r="D82" s="1084"/>
      <c r="E82" s="1099">
        <f t="shared" ref="E82:E89" si="75">SUM(C82+D82)</f>
        <v>0</v>
      </c>
      <c r="F82" s="1085"/>
      <c r="G82" s="1100"/>
      <c r="H82" s="1094"/>
      <c r="I82" s="1084"/>
      <c r="J82" s="1100">
        <f t="shared" ref="J82:J89" si="76">SUM(H82+I82)</f>
        <v>0</v>
      </c>
      <c r="K82" s="1085"/>
      <c r="L82" s="1100"/>
      <c r="M82" s="1094"/>
      <c r="N82" s="1084"/>
      <c r="O82" s="1099">
        <v>483937</v>
      </c>
      <c r="P82" s="1085">
        <f>480000+3937</f>
        <v>483937</v>
      </c>
      <c r="Q82" s="1100"/>
      <c r="R82" s="1094"/>
      <c r="S82" s="1084"/>
      <c r="T82" s="1100">
        <f t="shared" ref="T82:T89" si="77">SUM(R82+S82)</f>
        <v>0</v>
      </c>
      <c r="U82" s="1085"/>
      <c r="V82" s="1100"/>
      <c r="W82" s="1094"/>
      <c r="X82" s="1084"/>
      <c r="Y82" s="1100">
        <f t="shared" ref="Y82:Y89" si="78">SUM(W82+X82)</f>
        <v>0</v>
      </c>
      <c r="Z82" s="1100"/>
      <c r="AA82" s="1100"/>
      <c r="AB82" s="1094"/>
      <c r="AC82" s="1084"/>
      <c r="AD82" s="1099">
        <f t="shared" ref="AD82:AD89" si="79">SUM(AB82+AC82)</f>
        <v>0</v>
      </c>
      <c r="AE82" s="1085"/>
      <c r="AF82" s="1100"/>
      <c r="AG82" s="1083"/>
      <c r="AH82" s="1084"/>
      <c r="AI82" s="1099">
        <f t="shared" ref="AI82:AI89" si="80">SUM(AG82+AH82)</f>
        <v>0</v>
      </c>
      <c r="AJ82" s="1085"/>
      <c r="AK82" s="1100"/>
      <c r="AL82" s="1083"/>
      <c r="AM82" s="1084"/>
      <c r="AN82" s="1099">
        <f t="shared" ref="AN82:AN89" si="81">SUM(AL82+AM82)</f>
        <v>0</v>
      </c>
      <c r="AO82" s="1019"/>
      <c r="AP82" s="1100"/>
      <c r="AQ82" s="1083"/>
      <c r="AR82" s="1084"/>
      <c r="AS82" s="1100">
        <f t="shared" ref="AS82:AS89" si="82">SUM(AQ82+AR82)</f>
        <v>0</v>
      </c>
      <c r="AT82" s="1085">
        <f t="shared" ref="AT82:AT89" si="83">AQ82-AP82</f>
        <v>0</v>
      </c>
      <c r="AU82" s="1100"/>
      <c r="AV82" s="1083"/>
      <c r="AW82" s="1084"/>
      <c r="AX82" s="1100">
        <f t="shared" ref="AX82:AX89" si="84">SUM(AV82+AW82)</f>
        <v>0</v>
      </c>
      <c r="AY82" s="1085">
        <f t="shared" ref="AY82:AY89" si="85">AV82-AU82</f>
        <v>0</v>
      </c>
      <c r="AZ82" s="1019"/>
      <c r="BA82" s="1019">
        <v>0</v>
      </c>
      <c r="BB82" s="1019"/>
      <c r="BC82" s="1088">
        <f t="shared" ref="BC82:BE89" si="86">B82+G82+L82+Q82+V82+AA82+AF82+AK82+AP82+AU82</f>
        <v>0</v>
      </c>
      <c r="BD82" s="1088">
        <f t="shared" si="86"/>
        <v>0</v>
      </c>
      <c r="BE82" s="1091">
        <f t="shared" si="86"/>
        <v>0</v>
      </c>
      <c r="BF82" s="1090">
        <f t="shared" si="72"/>
        <v>483937</v>
      </c>
      <c r="BG82" s="1090">
        <f t="shared" si="71"/>
        <v>483937</v>
      </c>
      <c r="BH82" s="445"/>
      <c r="BI82" s="433"/>
      <c r="BJ82" s="433"/>
      <c r="BK82" s="433"/>
    </row>
    <row r="83" spans="1:63" ht="15" customHeight="1">
      <c r="A83" s="630" t="s">
        <v>756</v>
      </c>
      <c r="B83" s="1094"/>
      <c r="C83" s="1094"/>
      <c r="D83" s="1084"/>
      <c r="E83" s="1099">
        <f t="shared" si="75"/>
        <v>0</v>
      </c>
      <c r="F83" s="1085"/>
      <c r="G83" s="1100"/>
      <c r="H83" s="1094"/>
      <c r="I83" s="1084"/>
      <c r="J83" s="1100">
        <f t="shared" si="76"/>
        <v>0</v>
      </c>
      <c r="K83" s="1085"/>
      <c r="L83" s="1100"/>
      <c r="M83" s="1094"/>
      <c r="N83" s="1084"/>
      <c r="O83" s="1099">
        <f t="shared" ref="O83:O89" si="87">SUM(M83+N83)</f>
        <v>0</v>
      </c>
      <c r="P83" s="1085"/>
      <c r="Q83" s="1100"/>
      <c r="R83" s="1094"/>
      <c r="S83" s="1084"/>
      <c r="T83" s="1100">
        <f t="shared" si="77"/>
        <v>0</v>
      </c>
      <c r="U83" s="1085"/>
      <c r="V83" s="1100"/>
      <c r="W83" s="1094"/>
      <c r="X83" s="1084"/>
      <c r="Y83" s="1100">
        <f t="shared" si="78"/>
        <v>0</v>
      </c>
      <c r="Z83" s="1100"/>
      <c r="AA83" s="1100"/>
      <c r="AB83" s="1094"/>
      <c r="AC83" s="1084"/>
      <c r="AD83" s="1099">
        <f t="shared" si="79"/>
        <v>0</v>
      </c>
      <c r="AE83" s="1085"/>
      <c r="AF83" s="1100"/>
      <c r="AG83" s="1083"/>
      <c r="AH83" s="1084"/>
      <c r="AI83" s="1099">
        <f t="shared" si="80"/>
        <v>0</v>
      </c>
      <c r="AJ83" s="1085"/>
      <c r="AK83" s="1100"/>
      <c r="AL83" s="1083"/>
      <c r="AM83" s="1084"/>
      <c r="AN83" s="1099">
        <f t="shared" si="81"/>
        <v>0</v>
      </c>
      <c r="AO83" s="1019"/>
      <c r="AP83" s="1100"/>
      <c r="AQ83" s="1083"/>
      <c r="AR83" s="1084"/>
      <c r="AS83" s="1100">
        <f t="shared" si="82"/>
        <v>0</v>
      </c>
      <c r="AT83" s="1085">
        <f t="shared" si="83"/>
        <v>0</v>
      </c>
      <c r="AU83" s="1100"/>
      <c r="AV83" s="1083"/>
      <c r="AW83" s="1084"/>
      <c r="AX83" s="1100">
        <f t="shared" si="84"/>
        <v>0</v>
      </c>
      <c r="AY83" s="1085">
        <f t="shared" si="85"/>
        <v>0</v>
      </c>
      <c r="AZ83" s="1019"/>
      <c r="BA83" s="1019">
        <v>0</v>
      </c>
      <c r="BB83" s="1019"/>
      <c r="BC83" s="1088">
        <f t="shared" si="86"/>
        <v>0</v>
      </c>
      <c r="BD83" s="1088">
        <f t="shared" si="86"/>
        <v>0</v>
      </c>
      <c r="BE83" s="1091">
        <f t="shared" si="86"/>
        <v>0</v>
      </c>
      <c r="BF83" s="1090">
        <f t="shared" si="72"/>
        <v>0</v>
      </c>
      <c r="BG83" s="1090">
        <f t="shared" si="71"/>
        <v>0</v>
      </c>
      <c r="BH83" s="445"/>
      <c r="BI83" s="433"/>
      <c r="BJ83" s="433"/>
      <c r="BK83" s="433"/>
    </row>
    <row r="84" spans="1:63" ht="15" customHeight="1">
      <c r="A84" s="630" t="s">
        <v>757</v>
      </c>
      <c r="B84" s="1083"/>
      <c r="C84" s="1083"/>
      <c r="D84" s="1084"/>
      <c r="E84" s="1099">
        <f t="shared" si="75"/>
        <v>0</v>
      </c>
      <c r="F84" s="1085"/>
      <c r="G84" s="1100"/>
      <c r="H84" s="1083"/>
      <c r="I84" s="1084"/>
      <c r="J84" s="1100">
        <f t="shared" si="76"/>
        <v>0</v>
      </c>
      <c r="K84" s="1085"/>
      <c r="L84" s="1100"/>
      <c r="M84" s="1083"/>
      <c r="N84" s="1084"/>
      <c r="O84" s="1099">
        <f t="shared" si="87"/>
        <v>0</v>
      </c>
      <c r="P84" s="1085"/>
      <c r="Q84" s="1100"/>
      <c r="R84" s="1083"/>
      <c r="S84" s="1084"/>
      <c r="T84" s="1100">
        <f t="shared" si="77"/>
        <v>0</v>
      </c>
      <c r="U84" s="1085"/>
      <c r="V84" s="1100"/>
      <c r="W84" s="1083"/>
      <c r="X84" s="1084"/>
      <c r="Y84" s="1100">
        <f t="shared" si="78"/>
        <v>0</v>
      </c>
      <c r="Z84" s="1100"/>
      <c r="AA84" s="1100"/>
      <c r="AB84" s="1083"/>
      <c r="AC84" s="1084"/>
      <c r="AD84" s="1099">
        <f t="shared" si="79"/>
        <v>0</v>
      </c>
      <c r="AE84" s="1085"/>
      <c r="AF84" s="1100"/>
      <c r="AG84" s="1083"/>
      <c r="AH84" s="1084"/>
      <c r="AI84" s="1099">
        <f t="shared" si="80"/>
        <v>0</v>
      </c>
      <c r="AJ84" s="1085"/>
      <c r="AK84" s="1100"/>
      <c r="AL84" s="1083"/>
      <c r="AM84" s="1084"/>
      <c r="AN84" s="1099">
        <f t="shared" si="81"/>
        <v>0</v>
      </c>
      <c r="AO84" s="1019"/>
      <c r="AP84" s="1100"/>
      <c r="AQ84" s="1083"/>
      <c r="AR84" s="1084"/>
      <c r="AS84" s="1100">
        <f t="shared" si="82"/>
        <v>0</v>
      </c>
      <c r="AT84" s="1085">
        <f t="shared" si="83"/>
        <v>0</v>
      </c>
      <c r="AU84" s="1100"/>
      <c r="AV84" s="1083"/>
      <c r="AW84" s="1084"/>
      <c r="AX84" s="1100">
        <f t="shared" si="84"/>
        <v>0</v>
      </c>
      <c r="AY84" s="1085">
        <f t="shared" si="85"/>
        <v>0</v>
      </c>
      <c r="AZ84" s="1019"/>
      <c r="BA84" s="1019">
        <v>0</v>
      </c>
      <c r="BB84" s="1019"/>
      <c r="BC84" s="1088">
        <f t="shared" si="86"/>
        <v>0</v>
      </c>
      <c r="BD84" s="1088">
        <f t="shared" si="86"/>
        <v>0</v>
      </c>
      <c r="BE84" s="1091">
        <f t="shared" si="86"/>
        <v>0</v>
      </c>
      <c r="BF84" s="1090">
        <f t="shared" si="72"/>
        <v>0</v>
      </c>
      <c r="BG84" s="1090">
        <f t="shared" si="71"/>
        <v>0</v>
      </c>
      <c r="BH84" s="445"/>
      <c r="BI84" s="433"/>
      <c r="BJ84" s="433"/>
      <c r="BK84" s="433"/>
    </row>
    <row r="85" spans="1:63" ht="15" hidden="1" customHeight="1">
      <c r="A85" s="630" t="s">
        <v>758</v>
      </c>
      <c r="B85" s="1083"/>
      <c r="C85" s="1083"/>
      <c r="D85" s="1084"/>
      <c r="E85" s="1099">
        <f t="shared" si="75"/>
        <v>0</v>
      </c>
      <c r="F85" s="1085"/>
      <c r="G85" s="1100"/>
      <c r="H85" s="1083"/>
      <c r="I85" s="1084"/>
      <c r="J85" s="1100">
        <f t="shared" si="76"/>
        <v>0</v>
      </c>
      <c r="K85" s="1085"/>
      <c r="L85" s="1100"/>
      <c r="M85" s="1083"/>
      <c r="N85" s="1084"/>
      <c r="O85" s="1099">
        <f t="shared" si="87"/>
        <v>0</v>
      </c>
      <c r="P85" s="1085"/>
      <c r="Q85" s="1100"/>
      <c r="R85" s="1083"/>
      <c r="S85" s="1084"/>
      <c r="T85" s="1100">
        <f t="shared" si="77"/>
        <v>0</v>
      </c>
      <c r="U85" s="1085"/>
      <c r="V85" s="1100"/>
      <c r="W85" s="1083"/>
      <c r="X85" s="1084"/>
      <c r="Y85" s="1100">
        <f t="shared" si="78"/>
        <v>0</v>
      </c>
      <c r="Z85" s="1100"/>
      <c r="AA85" s="1100"/>
      <c r="AB85" s="1083"/>
      <c r="AC85" s="1084"/>
      <c r="AD85" s="1099">
        <f t="shared" si="79"/>
        <v>0</v>
      </c>
      <c r="AE85" s="1085"/>
      <c r="AF85" s="1100"/>
      <c r="AG85" s="1083"/>
      <c r="AH85" s="1084"/>
      <c r="AI85" s="1099">
        <f t="shared" si="80"/>
        <v>0</v>
      </c>
      <c r="AJ85" s="1085"/>
      <c r="AK85" s="1100"/>
      <c r="AL85" s="1083"/>
      <c r="AM85" s="1084"/>
      <c r="AN85" s="1099">
        <f t="shared" si="81"/>
        <v>0</v>
      </c>
      <c r="AO85" s="1019"/>
      <c r="AP85" s="1100"/>
      <c r="AQ85" s="1083"/>
      <c r="AR85" s="1084"/>
      <c r="AS85" s="1100">
        <f t="shared" si="82"/>
        <v>0</v>
      </c>
      <c r="AT85" s="1085">
        <f t="shared" si="83"/>
        <v>0</v>
      </c>
      <c r="AU85" s="1100"/>
      <c r="AV85" s="1083"/>
      <c r="AW85" s="1084"/>
      <c r="AX85" s="1100">
        <f t="shared" si="84"/>
        <v>0</v>
      </c>
      <c r="AY85" s="1085">
        <f t="shared" si="85"/>
        <v>0</v>
      </c>
      <c r="AZ85" s="1019"/>
      <c r="BA85" s="1019"/>
      <c r="BB85" s="1019"/>
      <c r="BC85" s="1088">
        <f t="shared" si="86"/>
        <v>0</v>
      </c>
      <c r="BD85" s="1088">
        <f t="shared" si="86"/>
        <v>0</v>
      </c>
      <c r="BE85" s="1091">
        <f t="shared" si="86"/>
        <v>0</v>
      </c>
      <c r="BF85" s="1090">
        <f t="shared" si="72"/>
        <v>0</v>
      </c>
      <c r="BG85" s="1090">
        <f t="shared" si="71"/>
        <v>0</v>
      </c>
      <c r="BH85" s="445"/>
      <c r="BI85" s="433"/>
      <c r="BJ85" s="433"/>
      <c r="BK85" s="433"/>
    </row>
    <row r="86" spans="1:63" ht="15" customHeight="1">
      <c r="A86" s="630" t="s">
        <v>759</v>
      </c>
      <c r="B86" s="1083"/>
      <c r="C86" s="1083"/>
      <c r="D86" s="1084"/>
      <c r="E86" s="1099">
        <f t="shared" si="75"/>
        <v>0</v>
      </c>
      <c r="F86" s="1085"/>
      <c r="G86" s="1100"/>
      <c r="H86" s="1083"/>
      <c r="I86" s="1084"/>
      <c r="J86" s="1100">
        <f t="shared" si="76"/>
        <v>0</v>
      </c>
      <c r="K86" s="1085"/>
      <c r="L86" s="1100"/>
      <c r="M86" s="1083"/>
      <c r="N86" s="1084"/>
      <c r="O86" s="1099">
        <f t="shared" si="87"/>
        <v>0</v>
      </c>
      <c r="P86" s="1085"/>
      <c r="Q86" s="1100"/>
      <c r="R86" s="1083"/>
      <c r="S86" s="1084"/>
      <c r="T86" s="1100">
        <f t="shared" si="77"/>
        <v>0</v>
      </c>
      <c r="U86" s="1085"/>
      <c r="V86" s="1100"/>
      <c r="W86" s="1083"/>
      <c r="X86" s="1084"/>
      <c r="Y86" s="1100">
        <f t="shared" si="78"/>
        <v>0</v>
      </c>
      <c r="Z86" s="1100"/>
      <c r="AA86" s="1100"/>
      <c r="AB86" s="1083"/>
      <c r="AC86" s="1084"/>
      <c r="AD86" s="1099">
        <f t="shared" si="79"/>
        <v>0</v>
      </c>
      <c r="AE86" s="1085"/>
      <c r="AF86" s="1100"/>
      <c r="AG86" s="1083"/>
      <c r="AH86" s="1084"/>
      <c r="AI86" s="1099">
        <f t="shared" si="80"/>
        <v>0</v>
      </c>
      <c r="AJ86" s="1085"/>
      <c r="AK86" s="1100"/>
      <c r="AL86" s="1083"/>
      <c r="AM86" s="1084"/>
      <c r="AN86" s="1099">
        <f t="shared" si="81"/>
        <v>0</v>
      </c>
      <c r="AO86" s="1019"/>
      <c r="AP86" s="1100"/>
      <c r="AQ86" s="1083"/>
      <c r="AR86" s="1084"/>
      <c r="AS86" s="1100">
        <f t="shared" si="82"/>
        <v>0</v>
      </c>
      <c r="AT86" s="1085">
        <f t="shared" si="83"/>
        <v>0</v>
      </c>
      <c r="AU86" s="1100"/>
      <c r="AV86" s="1083"/>
      <c r="AW86" s="1084"/>
      <c r="AX86" s="1100">
        <f t="shared" si="84"/>
        <v>0</v>
      </c>
      <c r="AY86" s="1085">
        <f t="shared" si="85"/>
        <v>0</v>
      </c>
      <c r="AZ86" s="1019"/>
      <c r="BA86" s="1019">
        <v>0</v>
      </c>
      <c r="BB86" s="1019"/>
      <c r="BC86" s="1088">
        <f t="shared" si="86"/>
        <v>0</v>
      </c>
      <c r="BD86" s="1088">
        <f t="shared" si="86"/>
        <v>0</v>
      </c>
      <c r="BE86" s="1091">
        <f t="shared" si="86"/>
        <v>0</v>
      </c>
      <c r="BF86" s="1090">
        <f t="shared" si="72"/>
        <v>0</v>
      </c>
      <c r="BG86" s="1090">
        <f t="shared" si="71"/>
        <v>0</v>
      </c>
      <c r="BH86" s="445"/>
      <c r="BI86" s="433"/>
      <c r="BJ86" s="433"/>
      <c r="BK86" s="433"/>
    </row>
    <row r="87" spans="1:63" ht="15" customHeight="1">
      <c r="A87" s="630" t="s">
        <v>760</v>
      </c>
      <c r="B87" s="1083"/>
      <c r="C87" s="1083"/>
      <c r="D87" s="1084"/>
      <c r="E87" s="1099">
        <f t="shared" si="75"/>
        <v>0</v>
      </c>
      <c r="F87" s="1085"/>
      <c r="G87" s="1100"/>
      <c r="H87" s="1083"/>
      <c r="I87" s="1084"/>
      <c r="J87" s="1100">
        <f t="shared" si="76"/>
        <v>0</v>
      </c>
      <c r="K87" s="1085"/>
      <c r="L87" s="1100"/>
      <c r="M87" s="1083"/>
      <c r="N87" s="1084"/>
      <c r="O87" s="1099">
        <f t="shared" si="87"/>
        <v>0</v>
      </c>
      <c r="P87" s="1085"/>
      <c r="Q87" s="1100"/>
      <c r="R87" s="1083"/>
      <c r="S87" s="1084"/>
      <c r="T87" s="1100">
        <f t="shared" si="77"/>
        <v>0</v>
      </c>
      <c r="U87" s="1085"/>
      <c r="V87" s="1100"/>
      <c r="W87" s="1083"/>
      <c r="X87" s="1084"/>
      <c r="Y87" s="1100">
        <f t="shared" si="78"/>
        <v>0</v>
      </c>
      <c r="Z87" s="1100"/>
      <c r="AA87" s="1100"/>
      <c r="AB87" s="1083"/>
      <c r="AC87" s="1084"/>
      <c r="AD87" s="1099">
        <f t="shared" si="79"/>
        <v>0</v>
      </c>
      <c r="AE87" s="1085"/>
      <c r="AF87" s="1100"/>
      <c r="AG87" s="1083"/>
      <c r="AH87" s="1084"/>
      <c r="AI87" s="1099">
        <f t="shared" si="80"/>
        <v>0</v>
      </c>
      <c r="AJ87" s="1085"/>
      <c r="AK87" s="1100"/>
      <c r="AL87" s="1083"/>
      <c r="AM87" s="1084"/>
      <c r="AN87" s="1099">
        <f t="shared" si="81"/>
        <v>0</v>
      </c>
      <c r="AO87" s="1019"/>
      <c r="AP87" s="1100"/>
      <c r="AQ87" s="1083"/>
      <c r="AR87" s="1084"/>
      <c r="AS87" s="1100">
        <f t="shared" si="82"/>
        <v>0</v>
      </c>
      <c r="AT87" s="1085">
        <f t="shared" si="83"/>
        <v>0</v>
      </c>
      <c r="AU87" s="1100"/>
      <c r="AV87" s="1083"/>
      <c r="AW87" s="1084"/>
      <c r="AX87" s="1100">
        <f t="shared" si="84"/>
        <v>0</v>
      </c>
      <c r="AY87" s="1085">
        <f t="shared" si="85"/>
        <v>0</v>
      </c>
      <c r="AZ87" s="1019"/>
      <c r="BA87" s="1019">
        <v>0</v>
      </c>
      <c r="BB87" s="1019"/>
      <c r="BC87" s="1088">
        <f t="shared" si="86"/>
        <v>0</v>
      </c>
      <c r="BD87" s="1088">
        <f t="shared" si="86"/>
        <v>0</v>
      </c>
      <c r="BE87" s="1091">
        <f t="shared" si="86"/>
        <v>0</v>
      </c>
      <c r="BF87" s="1090">
        <f t="shared" si="72"/>
        <v>0</v>
      </c>
      <c r="BG87" s="1090">
        <f t="shared" si="71"/>
        <v>0</v>
      </c>
      <c r="BH87" s="447"/>
      <c r="BI87" s="1108"/>
      <c r="BJ87" s="433"/>
      <c r="BK87" s="433"/>
    </row>
    <row r="88" spans="1:63" ht="15" customHeight="1">
      <c r="A88" s="630" t="s">
        <v>761</v>
      </c>
      <c r="B88" s="1083"/>
      <c r="C88" s="1083"/>
      <c r="D88" s="1084"/>
      <c r="E88" s="1099">
        <f t="shared" si="75"/>
        <v>0</v>
      </c>
      <c r="F88" s="1085"/>
      <c r="G88" s="1100"/>
      <c r="H88" s="1083"/>
      <c r="I88" s="1084"/>
      <c r="J88" s="1100">
        <f t="shared" si="76"/>
        <v>0</v>
      </c>
      <c r="K88" s="1085"/>
      <c r="L88" s="1100"/>
      <c r="M88" s="1083"/>
      <c r="N88" s="1084"/>
      <c r="O88" s="1099">
        <f t="shared" si="87"/>
        <v>0</v>
      </c>
      <c r="P88" s="1085"/>
      <c r="Q88" s="1100"/>
      <c r="R88" s="1083"/>
      <c r="S88" s="1084"/>
      <c r="T88" s="1100">
        <f t="shared" si="77"/>
        <v>0</v>
      </c>
      <c r="U88" s="1085"/>
      <c r="V88" s="1100"/>
      <c r="W88" s="1083"/>
      <c r="X88" s="1084"/>
      <c r="Y88" s="1100">
        <f t="shared" si="78"/>
        <v>0</v>
      </c>
      <c r="Z88" s="1100"/>
      <c r="AA88" s="1100"/>
      <c r="AB88" s="1083"/>
      <c r="AC88" s="1084"/>
      <c r="AD88" s="1099">
        <f t="shared" si="79"/>
        <v>0</v>
      </c>
      <c r="AE88" s="1085"/>
      <c r="AF88" s="1100"/>
      <c r="AG88" s="1083"/>
      <c r="AH88" s="1084"/>
      <c r="AI88" s="1099">
        <f t="shared" si="80"/>
        <v>0</v>
      </c>
      <c r="AJ88" s="1085"/>
      <c r="AK88" s="1100"/>
      <c r="AL88" s="1083"/>
      <c r="AM88" s="1084"/>
      <c r="AN88" s="1099">
        <f t="shared" si="81"/>
        <v>0</v>
      </c>
      <c r="AO88" s="1019"/>
      <c r="AP88" s="1100"/>
      <c r="AQ88" s="1083"/>
      <c r="AR88" s="1084"/>
      <c r="AS88" s="1100">
        <f t="shared" si="82"/>
        <v>0</v>
      </c>
      <c r="AT88" s="1085">
        <f t="shared" si="83"/>
        <v>0</v>
      </c>
      <c r="AU88" s="1100"/>
      <c r="AV88" s="1083"/>
      <c r="AW88" s="1084"/>
      <c r="AX88" s="1100">
        <f t="shared" si="84"/>
        <v>0</v>
      </c>
      <c r="AY88" s="1085">
        <f t="shared" si="85"/>
        <v>0</v>
      </c>
      <c r="AZ88" s="1019"/>
      <c r="BA88" s="1019">
        <v>0</v>
      </c>
      <c r="BB88" s="1019"/>
      <c r="BC88" s="1088">
        <f t="shared" si="86"/>
        <v>0</v>
      </c>
      <c r="BD88" s="1088">
        <f t="shared" si="86"/>
        <v>0</v>
      </c>
      <c r="BE88" s="1091">
        <f t="shared" si="86"/>
        <v>0</v>
      </c>
      <c r="BF88" s="1090">
        <f t="shared" si="72"/>
        <v>0</v>
      </c>
      <c r="BG88" s="1090">
        <f t="shared" si="71"/>
        <v>0</v>
      </c>
      <c r="BH88" s="447"/>
      <c r="BI88" s="1108"/>
      <c r="BJ88" s="433"/>
      <c r="BK88" s="433"/>
    </row>
    <row r="89" spans="1:63" ht="15" customHeight="1">
      <c r="A89" s="630" t="s">
        <v>762</v>
      </c>
      <c r="B89" s="1083"/>
      <c r="C89" s="1083"/>
      <c r="D89" s="1084"/>
      <c r="E89" s="1099">
        <f t="shared" si="75"/>
        <v>0</v>
      </c>
      <c r="F89" s="1085"/>
      <c r="G89" s="1100"/>
      <c r="H89" s="1083"/>
      <c r="I89" s="1084"/>
      <c r="J89" s="1100">
        <f t="shared" si="76"/>
        <v>0</v>
      </c>
      <c r="K89" s="1085"/>
      <c r="L89" s="1100"/>
      <c r="M89" s="1083"/>
      <c r="N89" s="1084"/>
      <c r="O89" s="1099">
        <f t="shared" si="87"/>
        <v>0</v>
      </c>
      <c r="P89" s="1085"/>
      <c r="Q89" s="1100"/>
      <c r="R89" s="1083"/>
      <c r="S89" s="1084"/>
      <c r="T89" s="1100">
        <f t="shared" si="77"/>
        <v>0</v>
      </c>
      <c r="U89" s="1085"/>
      <c r="V89" s="1100"/>
      <c r="W89" s="1083"/>
      <c r="X89" s="1084"/>
      <c r="Y89" s="1100">
        <f t="shared" si="78"/>
        <v>0</v>
      </c>
      <c r="Z89" s="1100"/>
      <c r="AA89" s="1100"/>
      <c r="AB89" s="1083"/>
      <c r="AC89" s="1084"/>
      <c r="AD89" s="1099">
        <f t="shared" si="79"/>
        <v>0</v>
      </c>
      <c r="AE89" s="1085"/>
      <c r="AF89" s="1100"/>
      <c r="AG89" s="1083"/>
      <c r="AH89" s="1084"/>
      <c r="AI89" s="1099">
        <f t="shared" si="80"/>
        <v>0</v>
      </c>
      <c r="AJ89" s="1085"/>
      <c r="AK89" s="1100"/>
      <c r="AL89" s="1083"/>
      <c r="AM89" s="1084"/>
      <c r="AN89" s="1099">
        <f t="shared" si="81"/>
        <v>0</v>
      </c>
      <c r="AO89" s="1019"/>
      <c r="AP89" s="1100"/>
      <c r="AQ89" s="1083"/>
      <c r="AR89" s="1084"/>
      <c r="AS89" s="1100">
        <f t="shared" si="82"/>
        <v>0</v>
      </c>
      <c r="AT89" s="1085">
        <f t="shared" si="83"/>
        <v>0</v>
      </c>
      <c r="AU89" s="1100"/>
      <c r="AV89" s="1083"/>
      <c r="AW89" s="1084"/>
      <c r="AX89" s="1100">
        <f t="shared" si="84"/>
        <v>0</v>
      </c>
      <c r="AY89" s="1085">
        <f t="shared" si="85"/>
        <v>0</v>
      </c>
      <c r="AZ89" s="1019"/>
      <c r="BA89" s="1019">
        <v>0</v>
      </c>
      <c r="BB89" s="1019"/>
      <c r="BC89" s="1088">
        <f t="shared" si="86"/>
        <v>0</v>
      </c>
      <c r="BD89" s="1088">
        <f t="shared" si="86"/>
        <v>0</v>
      </c>
      <c r="BE89" s="1091">
        <f t="shared" si="86"/>
        <v>0</v>
      </c>
      <c r="BF89" s="1090">
        <f t="shared" si="72"/>
        <v>0</v>
      </c>
      <c r="BG89" s="1090">
        <f t="shared" si="71"/>
        <v>0</v>
      </c>
      <c r="BH89" s="447"/>
      <c r="BI89" s="1108"/>
      <c r="BJ89" s="433"/>
      <c r="BK89" s="433"/>
    </row>
    <row r="90" spans="1:63" s="961" customFormat="1" ht="15" customHeight="1">
      <c r="A90" s="1055" t="s">
        <v>763</v>
      </c>
      <c r="B90" s="1023">
        <f t="shared" ref="B90:AG90" si="88">SUM(B82:B89)</f>
        <v>0</v>
      </c>
      <c r="C90" s="1023">
        <f t="shared" si="88"/>
        <v>0</v>
      </c>
      <c r="D90" s="1023">
        <f t="shared" si="88"/>
        <v>0</v>
      </c>
      <c r="E90" s="1023">
        <f t="shared" si="88"/>
        <v>0</v>
      </c>
      <c r="F90" s="1023">
        <f t="shared" si="88"/>
        <v>0</v>
      </c>
      <c r="G90" s="1023">
        <f t="shared" si="88"/>
        <v>0</v>
      </c>
      <c r="H90" s="1023">
        <f t="shared" si="88"/>
        <v>0</v>
      </c>
      <c r="I90" s="1023">
        <f t="shared" si="88"/>
        <v>0</v>
      </c>
      <c r="J90" s="1023">
        <f t="shared" si="88"/>
        <v>0</v>
      </c>
      <c r="K90" s="1023">
        <f t="shared" si="88"/>
        <v>0</v>
      </c>
      <c r="L90" s="1023">
        <f t="shared" si="88"/>
        <v>0</v>
      </c>
      <c r="M90" s="1023">
        <f t="shared" si="88"/>
        <v>0</v>
      </c>
      <c r="N90" s="1023">
        <f t="shared" si="88"/>
        <v>0</v>
      </c>
      <c r="O90" s="1023">
        <f t="shared" si="88"/>
        <v>483937</v>
      </c>
      <c r="P90" s="1023">
        <f t="shared" si="88"/>
        <v>483937</v>
      </c>
      <c r="Q90" s="1023">
        <f t="shared" si="88"/>
        <v>0</v>
      </c>
      <c r="R90" s="1023">
        <f t="shared" si="88"/>
        <v>0</v>
      </c>
      <c r="S90" s="1023">
        <f t="shared" si="88"/>
        <v>0</v>
      </c>
      <c r="T90" s="1023">
        <f t="shared" si="88"/>
        <v>0</v>
      </c>
      <c r="U90" s="1023">
        <f t="shared" si="88"/>
        <v>0</v>
      </c>
      <c r="V90" s="1023">
        <f t="shared" si="88"/>
        <v>0</v>
      </c>
      <c r="W90" s="1023">
        <f t="shared" si="88"/>
        <v>0</v>
      </c>
      <c r="X90" s="1023">
        <f t="shared" si="88"/>
        <v>0</v>
      </c>
      <c r="Y90" s="1023">
        <f t="shared" si="88"/>
        <v>0</v>
      </c>
      <c r="Z90" s="1023">
        <f t="shared" si="88"/>
        <v>0</v>
      </c>
      <c r="AA90" s="1023">
        <f t="shared" si="88"/>
        <v>0</v>
      </c>
      <c r="AB90" s="1023">
        <f t="shared" si="88"/>
        <v>0</v>
      </c>
      <c r="AC90" s="1023">
        <f t="shared" si="88"/>
        <v>0</v>
      </c>
      <c r="AD90" s="1023">
        <f t="shared" si="88"/>
        <v>0</v>
      </c>
      <c r="AE90" s="1023">
        <f t="shared" si="88"/>
        <v>0</v>
      </c>
      <c r="AF90" s="1023">
        <f t="shared" si="88"/>
        <v>0</v>
      </c>
      <c r="AG90" s="1023">
        <f t="shared" si="88"/>
        <v>0</v>
      </c>
      <c r="AH90" s="1023">
        <f t="shared" ref="AH90:AY90" si="89">SUM(AH82:AH89)</f>
        <v>0</v>
      </c>
      <c r="AI90" s="1023">
        <f t="shared" si="89"/>
        <v>0</v>
      </c>
      <c r="AJ90" s="1023">
        <f t="shared" si="89"/>
        <v>0</v>
      </c>
      <c r="AK90" s="1023">
        <f t="shared" si="89"/>
        <v>0</v>
      </c>
      <c r="AL90" s="1023">
        <f t="shared" si="89"/>
        <v>0</v>
      </c>
      <c r="AM90" s="1023">
        <f t="shared" si="89"/>
        <v>0</v>
      </c>
      <c r="AN90" s="1023">
        <f t="shared" si="89"/>
        <v>0</v>
      </c>
      <c r="AO90" s="1023">
        <f t="shared" si="89"/>
        <v>0</v>
      </c>
      <c r="AP90" s="1023">
        <f t="shared" si="89"/>
        <v>0</v>
      </c>
      <c r="AQ90" s="1023">
        <f t="shared" si="89"/>
        <v>0</v>
      </c>
      <c r="AR90" s="1023">
        <f t="shared" si="89"/>
        <v>0</v>
      </c>
      <c r="AS90" s="1023">
        <f t="shared" si="89"/>
        <v>0</v>
      </c>
      <c r="AT90" s="1023">
        <f t="shared" si="89"/>
        <v>0</v>
      </c>
      <c r="AU90" s="1023">
        <f t="shared" si="89"/>
        <v>0</v>
      </c>
      <c r="AV90" s="1023">
        <f t="shared" si="89"/>
        <v>0</v>
      </c>
      <c r="AW90" s="1023">
        <f t="shared" si="89"/>
        <v>0</v>
      </c>
      <c r="AX90" s="1023">
        <f t="shared" si="89"/>
        <v>0</v>
      </c>
      <c r="AY90" s="1023">
        <f t="shared" si="89"/>
        <v>0</v>
      </c>
      <c r="AZ90" s="1023"/>
      <c r="BA90" s="1023">
        <v>0</v>
      </c>
      <c r="BB90" s="1023">
        <v>0</v>
      </c>
      <c r="BC90" s="1023">
        <f>SUM(BC82:BC89)</f>
        <v>0</v>
      </c>
      <c r="BD90" s="1023">
        <f>SUM(BD82:BD89)</f>
        <v>0</v>
      </c>
      <c r="BE90" s="1031">
        <f>SUM(BE82:BE89)</f>
        <v>0</v>
      </c>
      <c r="BF90" s="1663">
        <f t="shared" si="72"/>
        <v>483937</v>
      </c>
      <c r="BG90" s="1663">
        <f t="shared" si="71"/>
        <v>483937</v>
      </c>
      <c r="BH90" s="809"/>
    </row>
    <row r="91" spans="1:63" s="961" customFormat="1" ht="15" customHeight="1">
      <c r="A91" s="966" t="s">
        <v>764</v>
      </c>
      <c r="B91" s="1024">
        <f t="shared" ref="B91:AG91" si="90">B90+B81</f>
        <v>0</v>
      </c>
      <c r="C91" s="1024">
        <f t="shared" si="90"/>
        <v>0</v>
      </c>
      <c r="D91" s="1024">
        <f t="shared" si="90"/>
        <v>0</v>
      </c>
      <c r="E91" s="1023">
        <f t="shared" si="90"/>
        <v>1578404</v>
      </c>
      <c r="F91" s="1024">
        <f t="shared" si="90"/>
        <v>1578404</v>
      </c>
      <c r="G91" s="1024">
        <f t="shared" si="90"/>
        <v>0</v>
      </c>
      <c r="H91" s="1024">
        <f t="shared" si="90"/>
        <v>0</v>
      </c>
      <c r="I91" s="1024">
        <f t="shared" si="90"/>
        <v>0</v>
      </c>
      <c r="J91" s="1024">
        <f t="shared" si="90"/>
        <v>0</v>
      </c>
      <c r="K91" s="1024">
        <f t="shared" si="90"/>
        <v>0</v>
      </c>
      <c r="L91" s="1024">
        <f t="shared" si="90"/>
        <v>1550000</v>
      </c>
      <c r="M91" s="1024">
        <f t="shared" si="90"/>
        <v>1550000</v>
      </c>
      <c r="N91" s="1024">
        <f t="shared" si="90"/>
        <v>0</v>
      </c>
      <c r="O91" s="1023">
        <f t="shared" si="90"/>
        <v>5400000</v>
      </c>
      <c r="P91" s="1024">
        <f t="shared" si="90"/>
        <v>4947736</v>
      </c>
      <c r="Q91" s="1024">
        <f t="shared" si="90"/>
        <v>0</v>
      </c>
      <c r="R91" s="1024">
        <f t="shared" si="90"/>
        <v>0</v>
      </c>
      <c r="S91" s="1024">
        <f t="shared" si="90"/>
        <v>0</v>
      </c>
      <c r="T91" s="1024">
        <f t="shared" si="90"/>
        <v>0</v>
      </c>
      <c r="U91" s="1024">
        <f t="shared" si="90"/>
        <v>0</v>
      </c>
      <c r="V91" s="1024">
        <f t="shared" si="90"/>
        <v>0</v>
      </c>
      <c r="W91" s="1024">
        <f t="shared" si="90"/>
        <v>0</v>
      </c>
      <c r="X91" s="1024">
        <f t="shared" si="90"/>
        <v>0</v>
      </c>
      <c r="Y91" s="1024">
        <f t="shared" si="90"/>
        <v>0</v>
      </c>
      <c r="Z91" s="1024">
        <f t="shared" si="90"/>
        <v>0</v>
      </c>
      <c r="AA91" s="1024">
        <f t="shared" si="90"/>
        <v>4791000</v>
      </c>
      <c r="AB91" s="1024">
        <f t="shared" si="90"/>
        <v>4791000</v>
      </c>
      <c r="AC91" s="1024">
        <f t="shared" si="90"/>
        <v>0</v>
      </c>
      <c r="AD91" s="1023">
        <f t="shared" si="90"/>
        <v>5419350</v>
      </c>
      <c r="AE91" s="1024">
        <f t="shared" si="90"/>
        <v>5083008</v>
      </c>
      <c r="AF91" s="1024">
        <f t="shared" si="90"/>
        <v>0</v>
      </c>
      <c r="AG91" s="1024">
        <f t="shared" si="90"/>
        <v>0</v>
      </c>
      <c r="AH91" s="1024">
        <f t="shared" ref="AH91:AY91" si="91">AH90+AH81</f>
        <v>0</v>
      </c>
      <c r="AI91" s="1023">
        <f t="shared" si="91"/>
        <v>418447</v>
      </c>
      <c r="AJ91" s="1024">
        <f t="shared" si="91"/>
        <v>213837</v>
      </c>
      <c r="AK91" s="1024">
        <f t="shared" si="91"/>
        <v>1020000</v>
      </c>
      <c r="AL91" s="1024">
        <f t="shared" si="91"/>
        <v>1020000</v>
      </c>
      <c r="AM91" s="1024">
        <f t="shared" si="91"/>
        <v>0</v>
      </c>
      <c r="AN91" s="1023">
        <f t="shared" si="91"/>
        <v>1073670</v>
      </c>
      <c r="AO91" s="1023">
        <f t="shared" si="91"/>
        <v>787136</v>
      </c>
      <c r="AP91" s="1098">
        <f t="shared" si="91"/>
        <v>0</v>
      </c>
      <c r="AQ91" s="1098">
        <f t="shared" si="91"/>
        <v>0</v>
      </c>
      <c r="AR91" s="1098">
        <f t="shared" si="91"/>
        <v>0</v>
      </c>
      <c r="AS91" s="1098">
        <f t="shared" si="91"/>
        <v>0</v>
      </c>
      <c r="AT91" s="1098">
        <f t="shared" si="91"/>
        <v>0</v>
      </c>
      <c r="AU91" s="1098">
        <f t="shared" si="91"/>
        <v>0</v>
      </c>
      <c r="AV91" s="1098">
        <f t="shared" si="91"/>
        <v>0</v>
      </c>
      <c r="AW91" s="1098">
        <f t="shared" si="91"/>
        <v>0</v>
      </c>
      <c r="AX91" s="1098">
        <f t="shared" si="91"/>
        <v>0</v>
      </c>
      <c r="AY91" s="1098">
        <f t="shared" si="91"/>
        <v>0</v>
      </c>
      <c r="AZ91" s="1023"/>
      <c r="BA91" s="1023">
        <f>BA90+BA81</f>
        <v>12883982</v>
      </c>
      <c r="BB91" s="1023">
        <f>BB90+BB81</f>
        <v>12883982</v>
      </c>
      <c r="BC91" s="1024">
        <f>BC90+BC81</f>
        <v>7361000</v>
      </c>
      <c r="BD91" s="1024">
        <f>BD90+BD81</f>
        <v>7361000</v>
      </c>
      <c r="BE91" s="1664">
        <f>BE90+BE81</f>
        <v>0</v>
      </c>
      <c r="BF91" s="1663">
        <f t="shared" si="72"/>
        <v>26773853</v>
      </c>
      <c r="BG91" s="1663">
        <f t="shared" si="71"/>
        <v>25494103</v>
      </c>
      <c r="BH91" s="809"/>
    </row>
    <row r="92" spans="1:63" ht="15" hidden="1" customHeight="1">
      <c r="A92" s="630" t="s">
        <v>765</v>
      </c>
      <c r="B92" s="1109"/>
      <c r="C92" s="1109"/>
      <c r="D92" s="1009"/>
      <c r="E92" s="589">
        <f t="shared" ref="E92:E102" si="92">SUM(C92+D92)</f>
        <v>0</v>
      </c>
      <c r="F92" s="1110"/>
      <c r="G92" s="1110"/>
      <c r="H92" s="1109"/>
      <c r="I92" s="1009"/>
      <c r="J92" s="1110">
        <f t="shared" ref="J92:J102" si="93">SUM(H92+I92)</f>
        <v>0</v>
      </c>
      <c r="K92" s="1110"/>
      <c r="L92" s="1110"/>
      <c r="M92" s="1109"/>
      <c r="N92" s="1009"/>
      <c r="O92" s="589">
        <f t="shared" ref="O92:O102" si="94">SUM(M92+N92)</f>
        <v>0</v>
      </c>
      <c r="P92" s="1110"/>
      <c r="Q92" s="1110"/>
      <c r="R92" s="1109"/>
      <c r="S92" s="1009"/>
      <c r="T92" s="1110">
        <f t="shared" ref="T92:T102" si="95">SUM(R92+S92)</f>
        <v>0</v>
      </c>
      <c r="U92" s="1110"/>
      <c r="V92" s="1110"/>
      <c r="W92" s="1109"/>
      <c r="X92" s="1009"/>
      <c r="Y92" s="1110">
        <f t="shared" ref="Y92:Y102" si="96">SUM(W92+X92)</f>
        <v>0</v>
      </c>
      <c r="Z92" s="1110"/>
      <c r="AA92" s="1110"/>
      <c r="AB92" s="1109"/>
      <c r="AC92" s="1009"/>
      <c r="AD92" s="589">
        <f t="shared" ref="AD92:AD102" si="97">SUM(AB92+AC92)</f>
        <v>0</v>
      </c>
      <c r="AE92" s="1110"/>
      <c r="AF92" s="1110"/>
      <c r="AG92" s="1109"/>
      <c r="AH92" s="1009"/>
      <c r="AI92" s="589">
        <f t="shared" ref="AI92:AI102" si="98">SUM(AG92+AH92)</f>
        <v>0</v>
      </c>
      <c r="AJ92" s="1110"/>
      <c r="AK92" s="1110"/>
      <c r="AL92" s="1109"/>
      <c r="AM92" s="1009"/>
      <c r="AN92" s="589">
        <f t="shared" ref="AN92:AN99" si="99">SUM(AL92+AM92)</f>
        <v>0</v>
      </c>
      <c r="AO92" s="589"/>
      <c r="AP92" s="1110"/>
      <c r="AQ92" s="1109"/>
      <c r="AR92" s="1009"/>
      <c r="AS92" s="1110">
        <f t="shared" ref="AS92:AS102" si="100">SUM(AQ92+AR92)</f>
        <v>0</v>
      </c>
      <c r="AT92" s="1110"/>
      <c r="AU92" s="1110"/>
      <c r="AV92" s="1109"/>
      <c r="AW92" s="1009"/>
      <c r="AX92" s="1110">
        <f t="shared" ref="AX92:AX102" si="101">SUM(AV92+AW92)</f>
        <v>0</v>
      </c>
      <c r="AY92" s="1110"/>
      <c r="AZ92" s="589"/>
      <c r="BA92" s="589"/>
      <c r="BB92" s="589"/>
      <c r="BC92" s="1111"/>
      <c r="BD92" s="1088">
        <f t="shared" ref="BD92:BE98" si="102">C92+H92+W92+AG92+AL92+AQ92+AV92</f>
        <v>0</v>
      </c>
      <c r="BE92" s="1089">
        <f t="shared" si="102"/>
        <v>0</v>
      </c>
      <c r="BF92" s="1090">
        <f t="shared" si="72"/>
        <v>0</v>
      </c>
      <c r="BG92" s="1102"/>
      <c r="BH92" s="445"/>
      <c r="BI92" s="433"/>
      <c r="BJ92" s="433"/>
      <c r="BK92" s="433"/>
    </row>
    <row r="93" spans="1:63" ht="15" hidden="1" customHeight="1">
      <c r="A93" s="405" t="s">
        <v>766</v>
      </c>
      <c r="B93" s="1109"/>
      <c r="C93" s="1109"/>
      <c r="D93" s="1009"/>
      <c r="E93" s="589">
        <f t="shared" si="92"/>
        <v>0</v>
      </c>
      <c r="F93" s="1110"/>
      <c r="G93" s="1110"/>
      <c r="H93" s="1109"/>
      <c r="I93" s="1009"/>
      <c r="J93" s="1110">
        <f t="shared" si="93"/>
        <v>0</v>
      </c>
      <c r="K93" s="1110"/>
      <c r="L93" s="1110"/>
      <c r="M93" s="1109"/>
      <c r="N93" s="1009"/>
      <c r="O93" s="589">
        <f t="shared" si="94"/>
        <v>0</v>
      </c>
      <c r="P93" s="1110"/>
      <c r="Q93" s="1110"/>
      <c r="R93" s="1109"/>
      <c r="S93" s="1009"/>
      <c r="T93" s="1110">
        <f t="shared" si="95"/>
        <v>0</v>
      </c>
      <c r="U93" s="1110"/>
      <c r="V93" s="1110"/>
      <c r="W93" s="1109"/>
      <c r="X93" s="1009"/>
      <c r="Y93" s="1110">
        <f t="shared" si="96"/>
        <v>0</v>
      </c>
      <c r="Z93" s="1110"/>
      <c r="AA93" s="1110"/>
      <c r="AB93" s="1109"/>
      <c r="AC93" s="1009"/>
      <c r="AD93" s="589">
        <f t="shared" si="97"/>
        <v>0</v>
      </c>
      <c r="AE93" s="1110"/>
      <c r="AF93" s="1110"/>
      <c r="AG93" s="1109"/>
      <c r="AH93" s="1009"/>
      <c r="AI93" s="589">
        <f t="shared" si="98"/>
        <v>0</v>
      </c>
      <c r="AJ93" s="1110"/>
      <c r="AK93" s="1110"/>
      <c r="AL93" s="1109"/>
      <c r="AM93" s="1009"/>
      <c r="AN93" s="589">
        <f t="shared" si="99"/>
        <v>0</v>
      </c>
      <c r="AO93" s="589"/>
      <c r="AP93" s="1110"/>
      <c r="AQ93" s="1109"/>
      <c r="AR93" s="1009"/>
      <c r="AS93" s="1110">
        <f t="shared" si="100"/>
        <v>0</v>
      </c>
      <c r="AT93" s="1110"/>
      <c r="AU93" s="1110"/>
      <c r="AV93" s="1109"/>
      <c r="AW93" s="1009"/>
      <c r="AX93" s="1110">
        <f t="shared" si="101"/>
        <v>0</v>
      </c>
      <c r="AY93" s="1110"/>
      <c r="AZ93" s="589"/>
      <c r="BA93" s="589"/>
      <c r="BB93" s="589"/>
      <c r="BC93" s="1111"/>
      <c r="BD93" s="1088">
        <f t="shared" si="102"/>
        <v>0</v>
      </c>
      <c r="BE93" s="1089">
        <f t="shared" si="102"/>
        <v>0</v>
      </c>
      <c r="BF93" s="1090">
        <f t="shared" si="72"/>
        <v>0</v>
      </c>
      <c r="BG93" s="1102"/>
      <c r="BH93" s="445"/>
      <c r="BI93" s="433"/>
      <c r="BJ93" s="433"/>
      <c r="BK93" s="433"/>
    </row>
    <row r="94" spans="1:63" ht="15" hidden="1" customHeight="1">
      <c r="A94" s="405" t="s">
        <v>767</v>
      </c>
      <c r="B94" s="1109"/>
      <c r="C94" s="1109"/>
      <c r="D94" s="1009"/>
      <c r="E94" s="589">
        <f t="shared" si="92"/>
        <v>0</v>
      </c>
      <c r="F94" s="1110"/>
      <c r="G94" s="1110"/>
      <c r="H94" s="1109"/>
      <c r="I94" s="1009"/>
      <c r="J94" s="1110">
        <f t="shared" si="93"/>
        <v>0</v>
      </c>
      <c r="K94" s="1110"/>
      <c r="L94" s="1110"/>
      <c r="M94" s="1109"/>
      <c r="N94" s="1009"/>
      <c r="O94" s="589">
        <f t="shared" si="94"/>
        <v>0</v>
      </c>
      <c r="P94" s="1110"/>
      <c r="Q94" s="1110"/>
      <c r="R94" s="1109"/>
      <c r="S94" s="1009"/>
      <c r="T94" s="1110">
        <f t="shared" si="95"/>
        <v>0</v>
      </c>
      <c r="U94" s="1110"/>
      <c r="V94" s="1110"/>
      <c r="W94" s="1109"/>
      <c r="X94" s="1009"/>
      <c r="Y94" s="1110">
        <f t="shared" si="96"/>
        <v>0</v>
      </c>
      <c r="Z94" s="1110"/>
      <c r="AA94" s="1110"/>
      <c r="AB94" s="1109"/>
      <c r="AC94" s="1009"/>
      <c r="AD94" s="589">
        <f t="shared" si="97"/>
        <v>0</v>
      </c>
      <c r="AE94" s="1110"/>
      <c r="AF94" s="1110"/>
      <c r="AG94" s="1109"/>
      <c r="AH94" s="1009"/>
      <c r="AI94" s="589">
        <f t="shared" si="98"/>
        <v>0</v>
      </c>
      <c r="AJ94" s="1110"/>
      <c r="AK94" s="1110"/>
      <c r="AL94" s="1109"/>
      <c r="AM94" s="1009"/>
      <c r="AN94" s="589">
        <f t="shared" si="99"/>
        <v>0</v>
      </c>
      <c r="AO94" s="589"/>
      <c r="AP94" s="1110"/>
      <c r="AQ94" s="1109"/>
      <c r="AR94" s="1009"/>
      <c r="AS94" s="1110">
        <f t="shared" si="100"/>
        <v>0</v>
      </c>
      <c r="AT94" s="1110"/>
      <c r="AU94" s="1110"/>
      <c r="AV94" s="1109"/>
      <c r="AW94" s="1009"/>
      <c r="AX94" s="1110">
        <f t="shared" si="101"/>
        <v>0</v>
      </c>
      <c r="AY94" s="1110"/>
      <c r="AZ94" s="589"/>
      <c r="BA94" s="589"/>
      <c r="BB94" s="589"/>
      <c r="BC94" s="1111"/>
      <c r="BD94" s="1088">
        <f t="shared" si="102"/>
        <v>0</v>
      </c>
      <c r="BE94" s="1089">
        <f t="shared" si="102"/>
        <v>0</v>
      </c>
      <c r="BF94" s="1090">
        <f t="shared" si="72"/>
        <v>0</v>
      </c>
      <c r="BG94" s="1102"/>
      <c r="BH94" s="445"/>
      <c r="BI94" s="433"/>
      <c r="BJ94" s="433"/>
      <c r="BK94" s="433"/>
    </row>
    <row r="95" spans="1:63" ht="15" hidden="1" customHeight="1">
      <c r="A95" s="405" t="s">
        <v>768</v>
      </c>
      <c r="B95" s="1109"/>
      <c r="C95" s="1109"/>
      <c r="D95" s="1009"/>
      <c r="E95" s="589">
        <f t="shared" si="92"/>
        <v>0</v>
      </c>
      <c r="F95" s="1110"/>
      <c r="G95" s="1110"/>
      <c r="H95" s="1109"/>
      <c r="I95" s="1009"/>
      <c r="J95" s="1110">
        <f t="shared" si="93"/>
        <v>0</v>
      </c>
      <c r="K95" s="1110"/>
      <c r="L95" s="1110"/>
      <c r="M95" s="1109"/>
      <c r="N95" s="1009"/>
      <c r="O95" s="589">
        <f t="shared" si="94"/>
        <v>0</v>
      </c>
      <c r="P95" s="1110"/>
      <c r="Q95" s="1110"/>
      <c r="R95" s="1109"/>
      <c r="S95" s="1009"/>
      <c r="T95" s="1110">
        <f t="shared" si="95"/>
        <v>0</v>
      </c>
      <c r="U95" s="1110"/>
      <c r="V95" s="1110"/>
      <c r="W95" s="1109"/>
      <c r="X95" s="1009"/>
      <c r="Y95" s="1110">
        <f t="shared" si="96"/>
        <v>0</v>
      </c>
      <c r="Z95" s="1110"/>
      <c r="AA95" s="1110"/>
      <c r="AB95" s="1109"/>
      <c r="AC95" s="1009"/>
      <c r="AD95" s="589">
        <f t="shared" si="97"/>
        <v>0</v>
      </c>
      <c r="AE95" s="1110"/>
      <c r="AF95" s="1110"/>
      <c r="AG95" s="1109"/>
      <c r="AH95" s="1009"/>
      <c r="AI95" s="589">
        <f t="shared" si="98"/>
        <v>0</v>
      </c>
      <c r="AJ95" s="1110"/>
      <c r="AK95" s="1110"/>
      <c r="AL95" s="1109"/>
      <c r="AM95" s="1009"/>
      <c r="AN95" s="589">
        <f t="shared" si="99"/>
        <v>0</v>
      </c>
      <c r="AO95" s="589"/>
      <c r="AP95" s="1110"/>
      <c r="AQ95" s="1109"/>
      <c r="AR95" s="1009"/>
      <c r="AS95" s="1110">
        <f t="shared" si="100"/>
        <v>0</v>
      </c>
      <c r="AT95" s="1110"/>
      <c r="AU95" s="1110"/>
      <c r="AV95" s="1109"/>
      <c r="AW95" s="1009"/>
      <c r="AX95" s="1110">
        <f t="shared" si="101"/>
        <v>0</v>
      </c>
      <c r="AY95" s="1110"/>
      <c r="AZ95" s="589"/>
      <c r="BA95" s="589"/>
      <c r="BB95" s="589"/>
      <c r="BC95" s="1111"/>
      <c r="BD95" s="1088">
        <f t="shared" si="102"/>
        <v>0</v>
      </c>
      <c r="BE95" s="1089">
        <f t="shared" si="102"/>
        <v>0</v>
      </c>
      <c r="BF95" s="1090">
        <f t="shared" si="72"/>
        <v>0</v>
      </c>
      <c r="BG95" s="1102"/>
      <c r="BH95" s="445"/>
      <c r="BI95" s="433"/>
      <c r="BJ95" s="433"/>
      <c r="BK95" s="433"/>
    </row>
    <row r="96" spans="1:63" ht="15" hidden="1" customHeight="1">
      <c r="A96" s="405" t="s">
        <v>769</v>
      </c>
      <c r="B96" s="1109"/>
      <c r="C96" s="1109"/>
      <c r="D96" s="1009"/>
      <c r="E96" s="589">
        <f t="shared" si="92"/>
        <v>0</v>
      </c>
      <c r="F96" s="1110"/>
      <c r="G96" s="1110"/>
      <c r="H96" s="1109"/>
      <c r="I96" s="1009"/>
      <c r="J96" s="1110">
        <f t="shared" si="93"/>
        <v>0</v>
      </c>
      <c r="K96" s="1110"/>
      <c r="L96" s="1110"/>
      <c r="M96" s="1109"/>
      <c r="N96" s="1009"/>
      <c r="O96" s="589">
        <f t="shared" si="94"/>
        <v>0</v>
      </c>
      <c r="P96" s="1110"/>
      <c r="Q96" s="1110"/>
      <c r="R96" s="1109"/>
      <c r="S96" s="1009"/>
      <c r="T96" s="1110">
        <f t="shared" si="95"/>
        <v>0</v>
      </c>
      <c r="U96" s="1110"/>
      <c r="V96" s="1110"/>
      <c r="W96" s="1109"/>
      <c r="X96" s="1009"/>
      <c r="Y96" s="1110">
        <f t="shared" si="96"/>
        <v>0</v>
      </c>
      <c r="Z96" s="1110"/>
      <c r="AA96" s="1110"/>
      <c r="AB96" s="1109"/>
      <c r="AC96" s="1009"/>
      <c r="AD96" s="589">
        <f t="shared" si="97"/>
        <v>0</v>
      </c>
      <c r="AE96" s="1110"/>
      <c r="AF96" s="1110"/>
      <c r="AG96" s="1109"/>
      <c r="AH96" s="1009"/>
      <c r="AI96" s="589">
        <f t="shared" si="98"/>
        <v>0</v>
      </c>
      <c r="AJ96" s="1110"/>
      <c r="AK96" s="1110"/>
      <c r="AL96" s="1109"/>
      <c r="AM96" s="1009"/>
      <c r="AN96" s="589">
        <f t="shared" si="99"/>
        <v>0</v>
      </c>
      <c r="AO96" s="589"/>
      <c r="AP96" s="1110"/>
      <c r="AQ96" s="1109"/>
      <c r="AR96" s="1009"/>
      <c r="AS96" s="1110">
        <f t="shared" si="100"/>
        <v>0</v>
      </c>
      <c r="AT96" s="1110"/>
      <c r="AU96" s="1110"/>
      <c r="AV96" s="1109"/>
      <c r="AW96" s="1009"/>
      <c r="AX96" s="1110">
        <f t="shared" si="101"/>
        <v>0</v>
      </c>
      <c r="AY96" s="1110"/>
      <c r="AZ96" s="589"/>
      <c r="BA96" s="589"/>
      <c r="BB96" s="589"/>
      <c r="BC96" s="1111"/>
      <c r="BD96" s="1088">
        <f t="shared" si="102"/>
        <v>0</v>
      </c>
      <c r="BE96" s="1089">
        <f t="shared" si="102"/>
        <v>0</v>
      </c>
      <c r="BF96" s="1090">
        <f t="shared" si="72"/>
        <v>0</v>
      </c>
      <c r="BG96" s="1102"/>
      <c r="BH96" s="445"/>
      <c r="BI96" s="433"/>
      <c r="BJ96" s="433"/>
      <c r="BK96" s="433"/>
    </row>
    <row r="97" spans="1:63" ht="15" hidden="1" customHeight="1">
      <c r="A97" s="405" t="s">
        <v>770</v>
      </c>
      <c r="B97" s="1109"/>
      <c r="C97" s="1109"/>
      <c r="D97" s="1009"/>
      <c r="E97" s="589">
        <f t="shared" si="92"/>
        <v>0</v>
      </c>
      <c r="F97" s="1110"/>
      <c r="G97" s="1110"/>
      <c r="H97" s="1109"/>
      <c r="I97" s="1009"/>
      <c r="J97" s="1110">
        <f t="shared" si="93"/>
        <v>0</v>
      </c>
      <c r="K97" s="1110"/>
      <c r="L97" s="1110"/>
      <c r="M97" s="1109"/>
      <c r="N97" s="1009"/>
      <c r="O97" s="589">
        <f t="shared" si="94"/>
        <v>0</v>
      </c>
      <c r="P97" s="1110"/>
      <c r="Q97" s="1110"/>
      <c r="R97" s="1109"/>
      <c r="S97" s="1009"/>
      <c r="T97" s="1110">
        <f t="shared" si="95"/>
        <v>0</v>
      </c>
      <c r="U97" s="1110"/>
      <c r="V97" s="1110"/>
      <c r="W97" s="1109"/>
      <c r="X97" s="1009"/>
      <c r="Y97" s="1110">
        <f t="shared" si="96"/>
        <v>0</v>
      </c>
      <c r="Z97" s="1110"/>
      <c r="AA97" s="1110"/>
      <c r="AB97" s="1109"/>
      <c r="AC97" s="1009"/>
      <c r="AD97" s="589">
        <f t="shared" si="97"/>
        <v>0</v>
      </c>
      <c r="AE97" s="1110"/>
      <c r="AF97" s="1110"/>
      <c r="AG97" s="1109"/>
      <c r="AH97" s="1009"/>
      <c r="AI97" s="589">
        <f t="shared" si="98"/>
        <v>0</v>
      </c>
      <c r="AJ97" s="1110"/>
      <c r="AK97" s="1110"/>
      <c r="AL97" s="1109"/>
      <c r="AM97" s="1009"/>
      <c r="AN97" s="589">
        <f t="shared" si="99"/>
        <v>0</v>
      </c>
      <c r="AO97" s="589"/>
      <c r="AP97" s="1110"/>
      <c r="AQ97" s="1109"/>
      <c r="AR97" s="1009"/>
      <c r="AS97" s="1110">
        <f t="shared" si="100"/>
        <v>0</v>
      </c>
      <c r="AT97" s="1110"/>
      <c r="AU97" s="1110"/>
      <c r="AV97" s="1109"/>
      <c r="AW97" s="1009"/>
      <c r="AX97" s="1110">
        <f t="shared" si="101"/>
        <v>0</v>
      </c>
      <c r="AY97" s="1110"/>
      <c r="AZ97" s="589"/>
      <c r="BA97" s="589"/>
      <c r="BB97" s="589"/>
      <c r="BC97" s="1111"/>
      <c r="BD97" s="1088">
        <f t="shared" si="102"/>
        <v>0</v>
      </c>
      <c r="BE97" s="1089">
        <f t="shared" si="102"/>
        <v>0</v>
      </c>
      <c r="BF97" s="1090">
        <f t="shared" si="72"/>
        <v>0</v>
      </c>
      <c r="BG97" s="1102"/>
      <c r="BH97" s="445"/>
      <c r="BI97" s="433"/>
      <c r="BJ97" s="433"/>
      <c r="BK97" s="433"/>
    </row>
    <row r="98" spans="1:63" ht="15" hidden="1" customHeight="1">
      <c r="A98" s="405" t="s">
        <v>771</v>
      </c>
      <c r="B98" s="1109"/>
      <c r="C98" s="1109"/>
      <c r="D98" s="1009"/>
      <c r="E98" s="589">
        <f t="shared" si="92"/>
        <v>0</v>
      </c>
      <c r="F98" s="1110"/>
      <c r="G98" s="1110"/>
      <c r="H98" s="1109"/>
      <c r="I98" s="1009"/>
      <c r="J98" s="1110">
        <f t="shared" si="93"/>
        <v>0</v>
      </c>
      <c r="K98" s="1110"/>
      <c r="L98" s="1110"/>
      <c r="M98" s="1109"/>
      <c r="N98" s="1009"/>
      <c r="O98" s="589">
        <f t="shared" si="94"/>
        <v>0</v>
      </c>
      <c r="P98" s="1110"/>
      <c r="Q98" s="1110"/>
      <c r="R98" s="1109"/>
      <c r="S98" s="1009"/>
      <c r="T98" s="1110">
        <f t="shared" si="95"/>
        <v>0</v>
      </c>
      <c r="U98" s="1110"/>
      <c r="V98" s="1110"/>
      <c r="W98" s="1109"/>
      <c r="X98" s="1009"/>
      <c r="Y98" s="1110">
        <f t="shared" si="96"/>
        <v>0</v>
      </c>
      <c r="Z98" s="1110"/>
      <c r="AA98" s="1110"/>
      <c r="AB98" s="1109"/>
      <c r="AC98" s="1009"/>
      <c r="AD98" s="589">
        <f t="shared" si="97"/>
        <v>0</v>
      </c>
      <c r="AE98" s="1110"/>
      <c r="AF98" s="1110"/>
      <c r="AG98" s="1109"/>
      <c r="AH98" s="1009"/>
      <c r="AI98" s="589">
        <f t="shared" si="98"/>
        <v>0</v>
      </c>
      <c r="AJ98" s="1110"/>
      <c r="AK98" s="1110"/>
      <c r="AL98" s="1109"/>
      <c r="AM98" s="1009"/>
      <c r="AN98" s="589">
        <f t="shared" si="99"/>
        <v>0</v>
      </c>
      <c r="AO98" s="589"/>
      <c r="AP98" s="1110"/>
      <c r="AQ98" s="1109"/>
      <c r="AR98" s="1009"/>
      <c r="AS98" s="1110">
        <f t="shared" si="100"/>
        <v>0</v>
      </c>
      <c r="AT98" s="1110"/>
      <c r="AU98" s="1110"/>
      <c r="AV98" s="1109"/>
      <c r="AW98" s="1009"/>
      <c r="AX98" s="1110">
        <f t="shared" si="101"/>
        <v>0</v>
      </c>
      <c r="AY98" s="1110"/>
      <c r="AZ98" s="589"/>
      <c r="BA98" s="589"/>
      <c r="BB98" s="589"/>
      <c r="BC98" s="1111"/>
      <c r="BD98" s="1088">
        <f t="shared" si="102"/>
        <v>0</v>
      </c>
      <c r="BE98" s="1089">
        <f t="shared" si="102"/>
        <v>0</v>
      </c>
      <c r="BF98" s="1090">
        <f t="shared" si="72"/>
        <v>0</v>
      </c>
      <c r="BG98" s="1102"/>
      <c r="BH98" s="445"/>
      <c r="BI98" s="433"/>
      <c r="BJ98" s="433"/>
      <c r="BK98" s="433"/>
    </row>
    <row r="99" spans="1:63" ht="15" hidden="1" customHeight="1">
      <c r="A99" s="630" t="s">
        <v>772</v>
      </c>
      <c r="B99" s="1109"/>
      <c r="C99" s="1109"/>
      <c r="D99" s="1009"/>
      <c r="E99" s="589">
        <f t="shared" si="92"/>
        <v>0</v>
      </c>
      <c r="F99" s="1110"/>
      <c r="G99" s="1110"/>
      <c r="H99" s="1109"/>
      <c r="I99" s="1009"/>
      <c r="J99" s="1110">
        <f t="shared" si="93"/>
        <v>0</v>
      </c>
      <c r="K99" s="1110"/>
      <c r="L99" s="1110"/>
      <c r="M99" s="1109"/>
      <c r="N99" s="1009"/>
      <c r="O99" s="589">
        <f t="shared" si="94"/>
        <v>0</v>
      </c>
      <c r="P99" s="1110"/>
      <c r="Q99" s="1110"/>
      <c r="R99" s="1109"/>
      <c r="S99" s="1009"/>
      <c r="T99" s="1110">
        <f t="shared" si="95"/>
        <v>0</v>
      </c>
      <c r="U99" s="1110"/>
      <c r="V99" s="1110"/>
      <c r="W99" s="1109"/>
      <c r="X99" s="1009"/>
      <c r="Y99" s="1110">
        <f t="shared" si="96"/>
        <v>0</v>
      </c>
      <c r="Z99" s="1110"/>
      <c r="AA99" s="1110"/>
      <c r="AB99" s="1109"/>
      <c r="AC99" s="1009"/>
      <c r="AD99" s="589">
        <f t="shared" si="97"/>
        <v>0</v>
      </c>
      <c r="AE99" s="1110"/>
      <c r="AF99" s="1110"/>
      <c r="AG99" s="1109"/>
      <c r="AH99" s="1009"/>
      <c r="AI99" s="589">
        <f t="shared" si="98"/>
        <v>0</v>
      </c>
      <c r="AJ99" s="1110"/>
      <c r="AK99" s="1110"/>
      <c r="AL99" s="1109"/>
      <c r="AM99" s="1009"/>
      <c r="AN99" s="589">
        <f t="shared" si="99"/>
        <v>0</v>
      </c>
      <c r="AO99" s="589"/>
      <c r="AP99" s="1110"/>
      <c r="AQ99" s="1109"/>
      <c r="AR99" s="1009"/>
      <c r="AS99" s="1110">
        <f t="shared" si="100"/>
        <v>0</v>
      </c>
      <c r="AT99" s="1110"/>
      <c r="AU99" s="1110"/>
      <c r="AV99" s="1109"/>
      <c r="AW99" s="1009"/>
      <c r="AX99" s="1110">
        <f t="shared" si="101"/>
        <v>0</v>
      </c>
      <c r="AY99" s="1110"/>
      <c r="AZ99" s="589"/>
      <c r="BA99" s="589"/>
      <c r="BB99" s="589"/>
      <c r="BC99" s="1111"/>
      <c r="BD99" s="1088">
        <f t="shared" ref="BD99:BE102" si="103">C99+H99+M99+R99+W99+AB99+AG99+AL99+AQ99+AV99</f>
        <v>0</v>
      </c>
      <c r="BE99" s="1089">
        <f t="shared" si="103"/>
        <v>0</v>
      </c>
      <c r="BF99" s="1090">
        <f t="shared" si="72"/>
        <v>0</v>
      </c>
      <c r="BG99" s="1102"/>
      <c r="BH99" s="445"/>
      <c r="BI99" s="433"/>
      <c r="BJ99" s="433"/>
      <c r="BK99" s="433"/>
    </row>
    <row r="100" spans="1:63" ht="15" customHeight="1">
      <c r="A100" s="630" t="s">
        <v>773</v>
      </c>
      <c r="B100" s="1083"/>
      <c r="C100" s="1083"/>
      <c r="D100" s="1084"/>
      <c r="E100" s="1099">
        <f t="shared" si="92"/>
        <v>0</v>
      </c>
      <c r="F100" s="1085"/>
      <c r="G100" s="1100"/>
      <c r="H100" s="1083"/>
      <c r="I100" s="1084"/>
      <c r="J100" s="1100">
        <f t="shared" si="93"/>
        <v>0</v>
      </c>
      <c r="K100" s="1085"/>
      <c r="L100" s="1100"/>
      <c r="M100" s="1083"/>
      <c r="N100" s="1084"/>
      <c r="O100" s="1099">
        <f t="shared" si="94"/>
        <v>0</v>
      </c>
      <c r="P100" s="1085"/>
      <c r="Q100" s="1083"/>
      <c r="R100" s="1083"/>
      <c r="S100" s="1084"/>
      <c r="T100" s="1100">
        <f t="shared" si="95"/>
        <v>0</v>
      </c>
      <c r="U100" s="1085"/>
      <c r="V100" s="1100"/>
      <c r="W100" s="1083"/>
      <c r="X100" s="1084"/>
      <c r="Y100" s="1100">
        <f t="shared" si="96"/>
        <v>0</v>
      </c>
      <c r="Z100" s="1100"/>
      <c r="AA100" s="1100"/>
      <c r="AB100" s="1083"/>
      <c r="AC100" s="1084"/>
      <c r="AD100" s="1099">
        <f t="shared" si="97"/>
        <v>0</v>
      </c>
      <c r="AE100" s="1085"/>
      <c r="AF100" s="1100"/>
      <c r="AG100" s="1083"/>
      <c r="AH100" s="1084"/>
      <c r="AI100" s="1099">
        <f t="shared" si="98"/>
        <v>0</v>
      </c>
      <c r="AJ100" s="1085"/>
      <c r="AK100" s="1100">
        <v>14928000</v>
      </c>
      <c r="AL100" s="1083">
        <f>8231000+7665000-969000+1000</f>
        <v>14928000</v>
      </c>
      <c r="AM100" s="1084"/>
      <c r="AN100" s="1099">
        <v>37989000</v>
      </c>
      <c r="AO100" s="1019">
        <v>37989000</v>
      </c>
      <c r="AP100" s="1100"/>
      <c r="AQ100" s="1083"/>
      <c r="AR100" s="1084"/>
      <c r="AS100" s="1100">
        <f t="shared" si="100"/>
        <v>0</v>
      </c>
      <c r="AT100" s="1085">
        <f>AQ100-AP100</f>
        <v>0</v>
      </c>
      <c r="AU100" s="1100"/>
      <c r="AV100" s="1083"/>
      <c r="AW100" s="1084"/>
      <c r="AX100" s="1100">
        <f t="shared" si="101"/>
        <v>0</v>
      </c>
      <c r="AY100" s="1085">
        <f>AV100-AU100</f>
        <v>0</v>
      </c>
      <c r="AZ100" s="1019"/>
      <c r="BA100" s="1019">
        <v>0</v>
      </c>
      <c r="BB100" s="1019"/>
      <c r="BC100" s="1088">
        <f>B100+G100+L100+Q100+V100+AA100+AF100+AK100+AP100+AU100</f>
        <v>14928000</v>
      </c>
      <c r="BD100" s="1088">
        <f t="shared" si="103"/>
        <v>14928000</v>
      </c>
      <c r="BE100" s="1091">
        <f t="shared" si="103"/>
        <v>0</v>
      </c>
      <c r="BF100" s="1090">
        <f t="shared" si="72"/>
        <v>37989000</v>
      </c>
      <c r="BG100" s="1090">
        <f t="shared" ref="BG100:BG107" si="104">SUM(F100+P100+AE100+AJ100+AO100+BB100)</f>
        <v>37989000</v>
      </c>
      <c r="BH100" s="445"/>
      <c r="BI100" s="433"/>
      <c r="BJ100" s="433"/>
      <c r="BK100" s="433"/>
    </row>
    <row r="101" spans="1:63" ht="15" customHeight="1">
      <c r="A101" s="630" t="s">
        <v>774</v>
      </c>
      <c r="B101" s="1083"/>
      <c r="C101" s="1083"/>
      <c r="D101" s="1084"/>
      <c r="E101" s="1099">
        <f t="shared" si="92"/>
        <v>0</v>
      </c>
      <c r="F101" s="1085"/>
      <c r="G101" s="1100"/>
      <c r="H101" s="1083"/>
      <c r="I101" s="1084"/>
      <c r="J101" s="1100">
        <f t="shared" si="93"/>
        <v>0</v>
      </c>
      <c r="K101" s="1085"/>
      <c r="L101" s="1100"/>
      <c r="M101" s="1083"/>
      <c r="N101" s="1084"/>
      <c r="O101" s="1099">
        <f t="shared" si="94"/>
        <v>0</v>
      </c>
      <c r="P101" s="1085"/>
      <c r="Q101" s="1083"/>
      <c r="R101" s="1083"/>
      <c r="S101" s="1084"/>
      <c r="T101" s="1100">
        <f t="shared" si="95"/>
        <v>0</v>
      </c>
      <c r="U101" s="1085"/>
      <c r="V101" s="1100"/>
      <c r="W101" s="1083"/>
      <c r="X101" s="1084"/>
      <c r="Y101" s="1100">
        <f t="shared" si="96"/>
        <v>0</v>
      </c>
      <c r="Z101" s="1100"/>
      <c r="AA101" s="1100"/>
      <c r="AB101" s="1083"/>
      <c r="AC101" s="1084"/>
      <c r="AD101" s="1099">
        <f t="shared" si="97"/>
        <v>0</v>
      </c>
      <c r="AE101" s="1085"/>
      <c r="AF101" s="1100"/>
      <c r="AG101" s="1083"/>
      <c r="AH101" s="1084"/>
      <c r="AI101" s="1099">
        <f t="shared" si="98"/>
        <v>0</v>
      </c>
      <c r="AJ101" s="1085"/>
      <c r="AK101" s="1100">
        <v>3991000</v>
      </c>
      <c r="AL101" s="1083">
        <v>3991000</v>
      </c>
      <c r="AM101" s="1084"/>
      <c r="AN101" s="1099">
        <f>SUM(AL101+AM101)</f>
        <v>3991000</v>
      </c>
      <c r="AO101" s="1019">
        <v>3991000</v>
      </c>
      <c r="AP101" s="1100"/>
      <c r="AQ101" s="1083"/>
      <c r="AR101" s="1084"/>
      <c r="AS101" s="1100">
        <f t="shared" si="100"/>
        <v>0</v>
      </c>
      <c r="AT101" s="1085">
        <f>AQ101-AP101</f>
        <v>0</v>
      </c>
      <c r="AU101" s="1100"/>
      <c r="AV101" s="1083"/>
      <c r="AW101" s="1084"/>
      <c r="AX101" s="1100">
        <f t="shared" si="101"/>
        <v>0</v>
      </c>
      <c r="AY101" s="1085">
        <f>AV101-AU101</f>
        <v>0</v>
      </c>
      <c r="AZ101" s="1019"/>
      <c r="BA101" s="1019">
        <v>0</v>
      </c>
      <c r="BB101" s="1019"/>
      <c r="BC101" s="1088">
        <f>B101+G101+L101+Q101+V101+AA101+AF101+AK101+AP101+AU101</f>
        <v>3991000</v>
      </c>
      <c r="BD101" s="1088">
        <f t="shared" si="103"/>
        <v>3991000</v>
      </c>
      <c r="BE101" s="1091">
        <f t="shared" si="103"/>
        <v>0</v>
      </c>
      <c r="BF101" s="1090">
        <f t="shared" si="72"/>
        <v>3991000</v>
      </c>
      <c r="BG101" s="1090">
        <f t="shared" si="104"/>
        <v>3991000</v>
      </c>
    </row>
    <row r="102" spans="1:63" ht="15" hidden="1" customHeight="1">
      <c r="A102" s="405" t="s">
        <v>775</v>
      </c>
      <c r="B102" s="1109"/>
      <c r="C102" s="1109"/>
      <c r="D102" s="1009"/>
      <c r="E102" s="589">
        <f t="shared" si="92"/>
        <v>0</v>
      </c>
      <c r="F102" s="1085"/>
      <c r="G102" s="1110"/>
      <c r="H102" s="1109"/>
      <c r="I102" s="1009"/>
      <c r="J102" s="1110">
        <f t="shared" si="93"/>
        <v>0</v>
      </c>
      <c r="K102" s="1085"/>
      <c r="L102" s="1110"/>
      <c r="M102" s="1109"/>
      <c r="N102" s="1009"/>
      <c r="O102" s="589">
        <f t="shared" si="94"/>
        <v>0</v>
      </c>
      <c r="P102" s="1085"/>
      <c r="Q102" s="1109"/>
      <c r="R102" s="1109"/>
      <c r="S102" s="1009"/>
      <c r="T102" s="1110">
        <f t="shared" si="95"/>
        <v>0</v>
      </c>
      <c r="U102" s="1085"/>
      <c r="V102" s="1110"/>
      <c r="W102" s="1109"/>
      <c r="X102" s="1009"/>
      <c r="Y102" s="1110">
        <f t="shared" si="96"/>
        <v>0</v>
      </c>
      <c r="Z102" s="1110"/>
      <c r="AA102" s="1110"/>
      <c r="AB102" s="1109"/>
      <c r="AC102" s="1009"/>
      <c r="AD102" s="589">
        <f t="shared" si="97"/>
        <v>0</v>
      </c>
      <c r="AE102" s="1085"/>
      <c r="AF102" s="1110"/>
      <c r="AG102" s="1109"/>
      <c r="AH102" s="1009"/>
      <c r="AI102" s="589">
        <f t="shared" si="98"/>
        <v>0</v>
      </c>
      <c r="AJ102" s="1085"/>
      <c r="AK102" s="1110"/>
      <c r="AL102" s="1109"/>
      <c r="AM102" s="1009"/>
      <c r="AN102" s="589">
        <f>SUM(AL102+AM102)</f>
        <v>0</v>
      </c>
      <c r="AO102" s="1019"/>
      <c r="AP102" s="1110"/>
      <c r="AQ102" s="1109"/>
      <c r="AR102" s="1009"/>
      <c r="AS102" s="1110">
        <f t="shared" si="100"/>
        <v>0</v>
      </c>
      <c r="AT102" s="1085">
        <f>AQ102-AP102</f>
        <v>0</v>
      </c>
      <c r="AU102" s="1110"/>
      <c r="AV102" s="1109"/>
      <c r="AW102" s="1009"/>
      <c r="AX102" s="1110">
        <f t="shared" si="101"/>
        <v>0</v>
      </c>
      <c r="AY102" s="1085">
        <f>AV102-AU102</f>
        <v>0</v>
      </c>
      <c r="AZ102" s="1019"/>
      <c r="BA102" s="1019"/>
      <c r="BB102" s="1019"/>
      <c r="BC102" s="1088">
        <f>B102+G102+L102+Q102+V102+AA102+AF102+AK102+AP102+AU102</f>
        <v>0</v>
      </c>
      <c r="BD102" s="1088">
        <f t="shared" si="103"/>
        <v>0</v>
      </c>
      <c r="BE102" s="1091">
        <f t="shared" si="103"/>
        <v>0</v>
      </c>
      <c r="BF102" s="1090">
        <f t="shared" si="72"/>
        <v>0</v>
      </c>
      <c r="BG102" s="1090">
        <f t="shared" si="104"/>
        <v>0</v>
      </c>
      <c r="BH102" s="445"/>
      <c r="BI102" s="433"/>
      <c r="BJ102" s="433"/>
      <c r="BK102" s="433"/>
    </row>
    <row r="103" spans="1:63" ht="15" customHeight="1">
      <c r="A103" s="405" t="s">
        <v>775</v>
      </c>
      <c r="B103" s="1109"/>
      <c r="C103" s="1109"/>
      <c r="D103" s="1009"/>
      <c r="E103" s="589">
        <v>0</v>
      </c>
      <c r="F103" s="1085"/>
      <c r="G103" s="1110"/>
      <c r="H103" s="1109"/>
      <c r="I103" s="1009"/>
      <c r="J103" s="1110"/>
      <c r="K103" s="1085"/>
      <c r="L103" s="1110"/>
      <c r="M103" s="1109"/>
      <c r="N103" s="1009"/>
      <c r="O103" s="589">
        <v>0</v>
      </c>
      <c r="P103" s="1085"/>
      <c r="Q103" s="1109"/>
      <c r="R103" s="1109"/>
      <c r="S103" s="1009"/>
      <c r="T103" s="1110"/>
      <c r="U103" s="1085"/>
      <c r="V103" s="1110"/>
      <c r="W103" s="1109"/>
      <c r="X103" s="1009"/>
      <c r="Y103" s="1110"/>
      <c r="Z103" s="1110"/>
      <c r="AA103" s="1110"/>
      <c r="AB103" s="1109"/>
      <c r="AC103" s="1009"/>
      <c r="AD103" s="589">
        <v>0</v>
      </c>
      <c r="AE103" s="1085"/>
      <c r="AF103" s="1110"/>
      <c r="AG103" s="1109"/>
      <c r="AH103" s="1009"/>
      <c r="AI103" s="589">
        <v>0</v>
      </c>
      <c r="AJ103" s="1085"/>
      <c r="AK103" s="1110"/>
      <c r="AL103" s="1109"/>
      <c r="AM103" s="1009"/>
      <c r="AN103" s="589">
        <v>0</v>
      </c>
      <c r="AO103" s="1019"/>
      <c r="AP103" s="1110"/>
      <c r="AQ103" s="1109"/>
      <c r="AR103" s="1009"/>
      <c r="AS103" s="1110"/>
      <c r="AT103" s="1085"/>
      <c r="AU103" s="1110"/>
      <c r="AV103" s="1109"/>
      <c r="AW103" s="1009"/>
      <c r="AX103" s="1110"/>
      <c r="AY103" s="1085"/>
      <c r="AZ103" s="1019"/>
      <c r="BA103" s="1019">
        <v>0</v>
      </c>
      <c r="BB103" s="1019"/>
      <c r="BC103" s="1088"/>
      <c r="BD103" s="1088"/>
      <c r="BE103" s="1091"/>
      <c r="BF103" s="1090">
        <f t="shared" si="72"/>
        <v>0</v>
      </c>
      <c r="BG103" s="1090">
        <f t="shared" si="104"/>
        <v>0</v>
      </c>
      <c r="BH103" s="445"/>
      <c r="BI103" s="433"/>
      <c r="BJ103" s="433"/>
      <c r="BK103" s="433"/>
    </row>
    <row r="104" spans="1:63" ht="15" customHeight="1">
      <c r="A104" s="405" t="s">
        <v>776</v>
      </c>
      <c r="B104" s="1083"/>
      <c r="C104" s="1083"/>
      <c r="D104" s="1084"/>
      <c r="E104" s="1099">
        <f>SUM(C104+D104)</f>
        <v>0</v>
      </c>
      <c r="F104" s="1085"/>
      <c r="G104" s="1100"/>
      <c r="H104" s="1083"/>
      <c r="I104" s="1084"/>
      <c r="J104" s="1100">
        <f>SUM(H104+I104)</f>
        <v>0</v>
      </c>
      <c r="K104" s="1085"/>
      <c r="L104" s="1100"/>
      <c r="M104" s="1083"/>
      <c r="N104" s="1084"/>
      <c r="O104" s="1099">
        <f>SUM(M104+N104)</f>
        <v>0</v>
      </c>
      <c r="P104" s="1085"/>
      <c r="Q104" s="1083"/>
      <c r="R104" s="1083"/>
      <c r="S104" s="1084"/>
      <c r="T104" s="1100">
        <f>SUM(R104+S104)</f>
        <v>0</v>
      </c>
      <c r="U104" s="1085"/>
      <c r="V104" s="1100"/>
      <c r="W104" s="1083"/>
      <c r="X104" s="1084"/>
      <c r="Y104" s="1100">
        <f>SUM(W104+X104)</f>
        <v>0</v>
      </c>
      <c r="Z104" s="1100"/>
      <c r="AA104" s="1100"/>
      <c r="AB104" s="1094"/>
      <c r="AC104" s="1084"/>
      <c r="AD104" s="1099">
        <f>SUM(AB104+AC104)</f>
        <v>0</v>
      </c>
      <c r="AE104" s="1085"/>
      <c r="AF104" s="1100"/>
      <c r="AG104" s="1083"/>
      <c r="AH104" s="1084"/>
      <c r="AI104" s="1099">
        <f>SUM(AG104+AH104)</f>
        <v>0</v>
      </c>
      <c r="AJ104" s="1085"/>
      <c r="AK104" s="1100">
        <v>585851</v>
      </c>
      <c r="AL104" s="1083">
        <v>1860931</v>
      </c>
      <c r="AM104" s="1084">
        <v>1186942</v>
      </c>
      <c r="AN104" s="1099">
        <v>7588093</v>
      </c>
      <c r="AO104" s="1019">
        <v>7588093</v>
      </c>
      <c r="AP104" s="1100"/>
      <c r="AQ104" s="1083"/>
      <c r="AR104" s="1084"/>
      <c r="AS104" s="1100">
        <f>SUM(AQ104+AR104)</f>
        <v>0</v>
      </c>
      <c r="AT104" s="1085">
        <f>AQ104-AP104</f>
        <v>0</v>
      </c>
      <c r="AU104" s="1100"/>
      <c r="AV104" s="1083"/>
      <c r="AW104" s="1084"/>
      <c r="AX104" s="1100">
        <f>SUM(AV104+AW104)</f>
        <v>0</v>
      </c>
      <c r="AY104" s="1085">
        <f>AV104-AU104</f>
        <v>0</v>
      </c>
      <c r="AZ104" s="1019"/>
      <c r="BA104" s="1019">
        <v>0</v>
      </c>
      <c r="BB104" s="1019"/>
      <c r="BC104" s="1088">
        <f t="shared" ref="BC104:BE107" si="105">B104+G104+L104+Q104+V104+AA104+AF104+AK104+AP104+AU104</f>
        <v>585851</v>
      </c>
      <c r="BD104" s="1088">
        <f t="shared" si="105"/>
        <v>1860931</v>
      </c>
      <c r="BE104" s="1091">
        <f t="shared" si="105"/>
        <v>1186942</v>
      </c>
      <c r="BF104" s="1090">
        <f t="shared" si="72"/>
        <v>7588093</v>
      </c>
      <c r="BG104" s="1090">
        <f t="shared" si="104"/>
        <v>7588093</v>
      </c>
      <c r="BH104" s="445"/>
      <c r="BI104" s="433"/>
      <c r="BJ104" s="433"/>
      <c r="BK104" s="433"/>
    </row>
    <row r="105" spans="1:63" ht="15" customHeight="1">
      <c r="A105" s="442" t="s">
        <v>777</v>
      </c>
      <c r="B105" s="1083"/>
      <c r="C105" s="1083"/>
      <c r="D105" s="1084"/>
      <c r="E105" s="1099">
        <f>SUM(C105+D105)</f>
        <v>0</v>
      </c>
      <c r="F105" s="1085"/>
      <c r="G105" s="1100"/>
      <c r="H105" s="1083"/>
      <c r="I105" s="1084"/>
      <c r="J105" s="1100">
        <f>SUM(H105+I105)</f>
        <v>0</v>
      </c>
      <c r="K105" s="1085"/>
      <c r="L105" s="1100"/>
      <c r="M105" s="1083"/>
      <c r="N105" s="1084"/>
      <c r="O105" s="1099">
        <f>SUM(M105+N105)</f>
        <v>0</v>
      </c>
      <c r="P105" s="1085"/>
      <c r="Q105" s="1083"/>
      <c r="R105" s="1083"/>
      <c r="S105" s="1084"/>
      <c r="T105" s="1100">
        <f>SUM(R105+S105)</f>
        <v>0</v>
      </c>
      <c r="U105" s="1085"/>
      <c r="V105" s="1100"/>
      <c r="W105" s="1083"/>
      <c r="X105" s="1084"/>
      <c r="Y105" s="1100">
        <f>SUM(W105+X105)</f>
        <v>0</v>
      </c>
      <c r="Z105" s="1100"/>
      <c r="AA105" s="1100"/>
      <c r="AB105" s="1094"/>
      <c r="AC105" s="1084"/>
      <c r="AD105" s="1099">
        <f>SUM(AB105+AC105)</f>
        <v>0</v>
      </c>
      <c r="AE105" s="1085"/>
      <c r="AF105" s="1100"/>
      <c r="AG105" s="1083"/>
      <c r="AH105" s="1084"/>
      <c r="AI105" s="1099">
        <f>SUM(AG105+AH105)</f>
        <v>0</v>
      </c>
      <c r="AJ105" s="1085"/>
      <c r="AK105" s="1100">
        <v>1801300000</v>
      </c>
      <c r="AL105" s="1083">
        <v>1816617000</v>
      </c>
      <c r="AM105" s="1084">
        <v>829916</v>
      </c>
      <c r="AN105" s="1099">
        <v>1808550115</v>
      </c>
      <c r="AO105" s="1019">
        <f>1597037339-7588093-103758527-111612</f>
        <v>1485579107</v>
      </c>
      <c r="AP105" s="1100"/>
      <c r="AQ105" s="1083"/>
      <c r="AR105" s="1084"/>
      <c r="AS105" s="1100">
        <f>SUM(AQ105+AR105)</f>
        <v>0</v>
      </c>
      <c r="AT105" s="1085">
        <f>AQ105-AP105</f>
        <v>0</v>
      </c>
      <c r="AU105" s="1100"/>
      <c r="AV105" s="1083"/>
      <c r="AW105" s="1084"/>
      <c r="AX105" s="1100">
        <f>SUM(AV105+AW105)</f>
        <v>0</v>
      </c>
      <c r="AY105" s="1085">
        <f>AV105-AU105</f>
        <v>0</v>
      </c>
      <c r="AZ105" s="1019"/>
      <c r="BA105" s="1019">
        <v>21597595</v>
      </c>
      <c r="BB105" s="1019">
        <v>21597595</v>
      </c>
      <c r="BC105" s="1088">
        <f t="shared" si="105"/>
        <v>1801300000</v>
      </c>
      <c r="BD105" s="1088">
        <f t="shared" si="105"/>
        <v>1816617000</v>
      </c>
      <c r="BE105" s="1091">
        <f t="shared" si="105"/>
        <v>829916</v>
      </c>
      <c r="BF105" s="1090">
        <f t="shared" si="72"/>
        <v>1830147710</v>
      </c>
      <c r="BG105" s="1090">
        <f t="shared" si="104"/>
        <v>1507176702</v>
      </c>
      <c r="BH105" s="445"/>
      <c r="BI105" s="433"/>
      <c r="BJ105" s="433"/>
      <c r="BK105" s="433"/>
    </row>
    <row r="106" spans="1:63" ht="15" customHeight="1">
      <c r="A106" s="405" t="s">
        <v>778</v>
      </c>
      <c r="B106" s="1083"/>
      <c r="C106" s="1083"/>
      <c r="D106" s="1084"/>
      <c r="E106" s="1099">
        <f>SUM(C106+D106)</f>
        <v>0</v>
      </c>
      <c r="F106" s="1085"/>
      <c r="G106" s="1100"/>
      <c r="H106" s="1083"/>
      <c r="I106" s="1084"/>
      <c r="J106" s="1100">
        <f>SUM(H106+I106)</f>
        <v>0</v>
      </c>
      <c r="K106" s="1085"/>
      <c r="L106" s="1100"/>
      <c r="M106" s="1083"/>
      <c r="N106" s="1084"/>
      <c r="O106" s="1099">
        <f>SUM(M106+N106)</f>
        <v>0</v>
      </c>
      <c r="P106" s="1085"/>
      <c r="Q106" s="1083"/>
      <c r="R106" s="1083"/>
      <c r="S106" s="1084"/>
      <c r="T106" s="1100">
        <f>SUM(R106+S106)</f>
        <v>0</v>
      </c>
      <c r="U106" s="1085"/>
      <c r="V106" s="1100"/>
      <c r="W106" s="1083"/>
      <c r="X106" s="1084"/>
      <c r="Y106" s="1100">
        <f>SUM(W106+X106)</f>
        <v>0</v>
      </c>
      <c r="Z106" s="1100"/>
      <c r="AA106" s="1100"/>
      <c r="AB106" s="1083"/>
      <c r="AC106" s="1084"/>
      <c r="AD106" s="1099">
        <f>SUM(AB106+AC106)</f>
        <v>0</v>
      </c>
      <c r="AE106" s="1085"/>
      <c r="AF106" s="1100"/>
      <c r="AG106" s="1083"/>
      <c r="AH106" s="1084"/>
      <c r="AI106" s="1099">
        <f>SUM(AG106+AH106)</f>
        <v>0</v>
      </c>
      <c r="AJ106" s="1085"/>
      <c r="AK106" s="1100"/>
      <c r="AL106" s="1083"/>
      <c r="AM106" s="1084"/>
      <c r="AN106" s="1099">
        <v>0</v>
      </c>
      <c r="AO106" s="1019"/>
      <c r="AP106" s="1100"/>
      <c r="AQ106" s="1083"/>
      <c r="AR106" s="1084"/>
      <c r="AS106" s="1100">
        <f>SUM(AQ106+AR106)</f>
        <v>0</v>
      </c>
      <c r="AT106" s="1085">
        <f>AQ106-AP106</f>
        <v>0</v>
      </c>
      <c r="AU106" s="1100"/>
      <c r="AV106" s="1083"/>
      <c r="AW106" s="1084"/>
      <c r="AX106" s="1100">
        <f>SUM(AV106+AW106)</f>
        <v>0</v>
      </c>
      <c r="AY106" s="1085">
        <f>AV106-AU106</f>
        <v>0</v>
      </c>
      <c r="AZ106" s="1019"/>
      <c r="BA106" s="1019">
        <v>0</v>
      </c>
      <c r="BB106" s="1019"/>
      <c r="BC106" s="1088">
        <f t="shared" si="105"/>
        <v>0</v>
      </c>
      <c r="BD106" s="1088">
        <f t="shared" si="105"/>
        <v>0</v>
      </c>
      <c r="BE106" s="1091">
        <f t="shared" si="105"/>
        <v>0</v>
      </c>
      <c r="BF106" s="1090">
        <f t="shared" si="72"/>
        <v>0</v>
      </c>
      <c r="BG106" s="1090">
        <f t="shared" si="104"/>
        <v>0</v>
      </c>
      <c r="BH106" s="445"/>
      <c r="BI106" s="433"/>
      <c r="BJ106" s="433"/>
      <c r="BK106" s="433"/>
    </row>
    <row r="107" spans="1:63" ht="15" customHeight="1">
      <c r="A107" s="405" t="s">
        <v>779</v>
      </c>
      <c r="B107" s="1083"/>
      <c r="C107" s="1083"/>
      <c r="D107" s="1084"/>
      <c r="E107" s="1099">
        <f>SUM(C107+D107)</f>
        <v>0</v>
      </c>
      <c r="F107" s="1085"/>
      <c r="G107" s="1100"/>
      <c r="H107" s="1083"/>
      <c r="I107" s="1084"/>
      <c r="J107" s="1100">
        <f>SUM(H107+I107)</f>
        <v>0</v>
      </c>
      <c r="K107" s="1085"/>
      <c r="L107" s="1100"/>
      <c r="M107" s="1083"/>
      <c r="N107" s="1084"/>
      <c r="O107" s="1099">
        <f>SUM(M107+N107)</f>
        <v>0</v>
      </c>
      <c r="P107" s="1085"/>
      <c r="Q107" s="1083"/>
      <c r="R107" s="1083"/>
      <c r="S107" s="1084"/>
      <c r="T107" s="1100">
        <f>SUM(R107+S107)</f>
        <v>0</v>
      </c>
      <c r="U107" s="1085"/>
      <c r="V107" s="1100"/>
      <c r="W107" s="1083"/>
      <c r="X107" s="1084"/>
      <c r="Y107" s="1100">
        <f>SUM(W107+X107)</f>
        <v>0</v>
      </c>
      <c r="Z107" s="1100"/>
      <c r="AA107" s="1100"/>
      <c r="AB107" s="1083"/>
      <c r="AC107" s="1084"/>
      <c r="AD107" s="1099">
        <f>SUM(AB107+AC107)</f>
        <v>0</v>
      </c>
      <c r="AE107" s="1085"/>
      <c r="AF107" s="1100"/>
      <c r="AG107" s="1083"/>
      <c r="AH107" s="1084"/>
      <c r="AI107" s="1099">
        <f>SUM(AG107+AH107)</f>
        <v>0</v>
      </c>
      <c r="AJ107" s="1085"/>
      <c r="AK107" s="1100">
        <v>93663000</v>
      </c>
      <c r="AL107" s="1083">
        <v>117920000</v>
      </c>
      <c r="AM107" s="1084"/>
      <c r="AN107" s="1099">
        <f>SUM(AL107+AM107)</f>
        <v>117920000</v>
      </c>
      <c r="AO107" s="1019">
        <f>34714277+69044250+111612</f>
        <v>103870139</v>
      </c>
      <c r="AP107" s="1100"/>
      <c r="AQ107" s="1083"/>
      <c r="AR107" s="1084"/>
      <c r="AS107" s="1100">
        <f>SUM(AQ107+AR107)</f>
        <v>0</v>
      </c>
      <c r="AT107" s="1085">
        <f>AQ107-AP107</f>
        <v>0</v>
      </c>
      <c r="AU107" s="1100"/>
      <c r="AV107" s="1083"/>
      <c r="AW107" s="1084"/>
      <c r="AX107" s="1100">
        <f>SUM(AV107+AW107)</f>
        <v>0</v>
      </c>
      <c r="AY107" s="1085">
        <f>AV107-AU107</f>
        <v>0</v>
      </c>
      <c r="AZ107" s="1019"/>
      <c r="BA107" s="1019">
        <v>182388</v>
      </c>
      <c r="BB107" s="1019">
        <v>182388</v>
      </c>
      <c r="BC107" s="1088">
        <f t="shared" si="105"/>
        <v>93663000</v>
      </c>
      <c r="BD107" s="1088">
        <f t="shared" si="105"/>
        <v>117920000</v>
      </c>
      <c r="BE107" s="1091">
        <f t="shared" si="105"/>
        <v>0</v>
      </c>
      <c r="BF107" s="1090">
        <f t="shared" si="72"/>
        <v>118102388</v>
      </c>
      <c r="BG107" s="1090">
        <f t="shared" si="104"/>
        <v>104052527</v>
      </c>
    </row>
    <row r="108" spans="1:63" ht="15" hidden="1" customHeight="1">
      <c r="A108" s="405" t="s">
        <v>780</v>
      </c>
      <c r="B108" s="1109"/>
      <c r="C108" s="1109"/>
      <c r="D108" s="1009"/>
      <c r="E108" s="589">
        <f>SUM(C108+D108)</f>
        <v>0</v>
      </c>
      <c r="F108" s="1110"/>
      <c r="G108" s="1110"/>
      <c r="H108" s="1109"/>
      <c r="I108" s="1009"/>
      <c r="J108" s="1110">
        <f>SUM(H108+I108)</f>
        <v>0</v>
      </c>
      <c r="K108" s="1110"/>
      <c r="L108" s="1110"/>
      <c r="M108" s="1109"/>
      <c r="N108" s="1009"/>
      <c r="O108" s="589">
        <f>SUM(M108+N108)</f>
        <v>0</v>
      </c>
      <c r="P108" s="1110"/>
      <c r="Q108" s="1110"/>
      <c r="R108" s="1109"/>
      <c r="S108" s="1009"/>
      <c r="T108" s="1110">
        <f>SUM(R108+S108)</f>
        <v>0</v>
      </c>
      <c r="U108" s="1110"/>
      <c r="V108" s="1110"/>
      <c r="W108" s="1109"/>
      <c r="X108" s="1009"/>
      <c r="Y108" s="1110">
        <f>SUM(W108+X108)</f>
        <v>0</v>
      </c>
      <c r="Z108" s="1110"/>
      <c r="AA108" s="1110"/>
      <c r="AB108" s="1109"/>
      <c r="AC108" s="1009"/>
      <c r="AD108" s="589">
        <f>SUM(AB108+AC108)</f>
        <v>0</v>
      </c>
      <c r="AE108" s="1110"/>
      <c r="AF108" s="1110"/>
      <c r="AG108" s="1109"/>
      <c r="AH108" s="1009"/>
      <c r="AI108" s="589">
        <f>SUM(AG108+AH108)</f>
        <v>0</v>
      </c>
      <c r="AJ108" s="1110"/>
      <c r="AK108" s="1110"/>
      <c r="AL108" s="1109"/>
      <c r="AM108" s="1009"/>
      <c r="AN108" s="589">
        <f>SUM(AL108+AM108)</f>
        <v>0</v>
      </c>
      <c r="AO108" s="589"/>
      <c r="AP108" s="1110"/>
      <c r="AQ108" s="1109"/>
      <c r="AR108" s="1009"/>
      <c r="AS108" s="1110">
        <f>SUM(AQ108+AR108)</f>
        <v>0</v>
      </c>
      <c r="AT108" s="1110"/>
      <c r="AU108" s="1110"/>
      <c r="AV108" s="1109"/>
      <c r="AW108" s="1009"/>
      <c r="AX108" s="1110">
        <f>SUM(AV108+AW108)</f>
        <v>0</v>
      </c>
      <c r="AY108" s="1110"/>
      <c r="AZ108" s="589"/>
      <c r="BA108" s="589"/>
      <c r="BB108" s="589"/>
      <c r="BC108" s="1111"/>
      <c r="BD108" s="1088">
        <f>C108+H108+M108+R108+W108+AB108+AG108+AL108+AQ108+AV108</f>
        <v>0</v>
      </c>
      <c r="BE108" s="1089">
        <f>D108+I108+N108+S108+X108+AC108+AH108+AM108+AR108+AW108</f>
        <v>0</v>
      </c>
      <c r="BF108" s="1090">
        <f t="shared" si="72"/>
        <v>0</v>
      </c>
      <c r="BG108" s="1102"/>
      <c r="BH108" s="445"/>
      <c r="BI108" s="433"/>
      <c r="BJ108" s="433"/>
      <c r="BK108" s="433"/>
    </row>
    <row r="109" spans="1:63" s="961" customFormat="1" ht="15" customHeight="1" thickBot="1">
      <c r="A109" s="1055" t="s">
        <v>781</v>
      </c>
      <c r="B109" s="1028">
        <f t="shared" ref="B109:AG109" si="106">SUM(B92:B108)</f>
        <v>0</v>
      </c>
      <c r="C109" s="1028">
        <f t="shared" si="106"/>
        <v>0</v>
      </c>
      <c r="D109" s="1028">
        <f t="shared" si="106"/>
        <v>0</v>
      </c>
      <c r="E109" s="1028">
        <f t="shared" si="106"/>
        <v>0</v>
      </c>
      <c r="F109" s="1028">
        <f t="shared" si="106"/>
        <v>0</v>
      </c>
      <c r="G109" s="1028">
        <f t="shared" si="106"/>
        <v>0</v>
      </c>
      <c r="H109" s="1028">
        <f t="shared" si="106"/>
        <v>0</v>
      </c>
      <c r="I109" s="1028">
        <f t="shared" si="106"/>
        <v>0</v>
      </c>
      <c r="J109" s="1028">
        <f t="shared" si="106"/>
        <v>0</v>
      </c>
      <c r="K109" s="1028">
        <f t="shared" si="106"/>
        <v>0</v>
      </c>
      <c r="L109" s="1028">
        <f t="shared" si="106"/>
        <v>0</v>
      </c>
      <c r="M109" s="1028">
        <f t="shared" si="106"/>
        <v>0</v>
      </c>
      <c r="N109" s="1028">
        <f t="shared" si="106"/>
        <v>0</v>
      </c>
      <c r="O109" s="1028">
        <f t="shared" si="106"/>
        <v>0</v>
      </c>
      <c r="P109" s="1028">
        <f t="shared" si="106"/>
        <v>0</v>
      </c>
      <c r="Q109" s="1028">
        <f t="shared" si="106"/>
        <v>0</v>
      </c>
      <c r="R109" s="1028">
        <f t="shared" si="106"/>
        <v>0</v>
      </c>
      <c r="S109" s="1028">
        <f t="shared" si="106"/>
        <v>0</v>
      </c>
      <c r="T109" s="1028">
        <f t="shared" si="106"/>
        <v>0</v>
      </c>
      <c r="U109" s="1028">
        <f t="shared" si="106"/>
        <v>0</v>
      </c>
      <c r="V109" s="1028">
        <f t="shared" si="106"/>
        <v>0</v>
      </c>
      <c r="W109" s="1028">
        <f t="shared" si="106"/>
        <v>0</v>
      </c>
      <c r="X109" s="1028">
        <f t="shared" si="106"/>
        <v>0</v>
      </c>
      <c r="Y109" s="1028">
        <f t="shared" si="106"/>
        <v>0</v>
      </c>
      <c r="Z109" s="1028">
        <f t="shared" si="106"/>
        <v>0</v>
      </c>
      <c r="AA109" s="1028">
        <f t="shared" si="106"/>
        <v>0</v>
      </c>
      <c r="AB109" s="1028">
        <f t="shared" si="106"/>
        <v>0</v>
      </c>
      <c r="AC109" s="1028">
        <f t="shared" si="106"/>
        <v>0</v>
      </c>
      <c r="AD109" s="1028">
        <f t="shared" si="106"/>
        <v>0</v>
      </c>
      <c r="AE109" s="1028">
        <f t="shared" si="106"/>
        <v>0</v>
      </c>
      <c r="AF109" s="1028">
        <f t="shared" si="106"/>
        <v>0</v>
      </c>
      <c r="AG109" s="1028">
        <f t="shared" si="106"/>
        <v>0</v>
      </c>
      <c r="AH109" s="1028">
        <f t="shared" ref="AH109:AY109" si="107">SUM(AH92:AH108)</f>
        <v>0</v>
      </c>
      <c r="AI109" s="1028">
        <f t="shared" si="107"/>
        <v>0</v>
      </c>
      <c r="AJ109" s="1028">
        <f t="shared" si="107"/>
        <v>0</v>
      </c>
      <c r="AK109" s="1028">
        <f t="shared" si="107"/>
        <v>1914467851</v>
      </c>
      <c r="AL109" s="1028">
        <f t="shared" si="107"/>
        <v>1955316931</v>
      </c>
      <c r="AM109" s="1028">
        <f t="shared" si="107"/>
        <v>2016858</v>
      </c>
      <c r="AN109" s="1028">
        <f t="shared" si="107"/>
        <v>1976038208</v>
      </c>
      <c r="AO109" s="1028">
        <f t="shared" si="107"/>
        <v>1639017339</v>
      </c>
      <c r="AP109" s="1112">
        <f t="shared" si="107"/>
        <v>0</v>
      </c>
      <c r="AQ109" s="1112">
        <f t="shared" si="107"/>
        <v>0</v>
      </c>
      <c r="AR109" s="1112">
        <f t="shared" si="107"/>
        <v>0</v>
      </c>
      <c r="AS109" s="1112">
        <f t="shared" si="107"/>
        <v>0</v>
      </c>
      <c r="AT109" s="1112">
        <f t="shared" si="107"/>
        <v>0</v>
      </c>
      <c r="AU109" s="1112">
        <f t="shared" si="107"/>
        <v>0</v>
      </c>
      <c r="AV109" s="1112">
        <f t="shared" si="107"/>
        <v>0</v>
      </c>
      <c r="AW109" s="1112">
        <f t="shared" si="107"/>
        <v>0</v>
      </c>
      <c r="AX109" s="1112">
        <f t="shared" si="107"/>
        <v>0</v>
      </c>
      <c r="AY109" s="1112">
        <f t="shared" si="107"/>
        <v>0</v>
      </c>
      <c r="AZ109" s="1028"/>
      <c r="BA109" s="1028">
        <f t="shared" ref="BA109:BG109" si="108">SUM(BA92:BA108)</f>
        <v>21779983</v>
      </c>
      <c r="BB109" s="1028">
        <f t="shared" si="108"/>
        <v>21779983</v>
      </c>
      <c r="BC109" s="1028">
        <f t="shared" si="108"/>
        <v>1914467851</v>
      </c>
      <c r="BD109" s="1028">
        <f t="shared" si="108"/>
        <v>1955316931</v>
      </c>
      <c r="BE109" s="1028">
        <f t="shared" si="108"/>
        <v>2016858</v>
      </c>
      <c r="BF109" s="1028">
        <f t="shared" si="108"/>
        <v>1997818191</v>
      </c>
      <c r="BG109" s="1028">
        <f t="shared" si="108"/>
        <v>1660797322</v>
      </c>
      <c r="BH109" s="809"/>
    </row>
    <row r="110" spans="1:63" s="961" customFormat="1" ht="15" customHeight="1" thickBot="1">
      <c r="A110" s="1113" t="s">
        <v>782</v>
      </c>
      <c r="B110" s="1030">
        <f t="shared" ref="B110:AG110" si="109">SUM(B91+B109)</f>
        <v>0</v>
      </c>
      <c r="C110" s="1030">
        <f t="shared" si="109"/>
        <v>0</v>
      </c>
      <c r="D110" s="1030">
        <f t="shared" si="109"/>
        <v>0</v>
      </c>
      <c r="E110" s="1030">
        <f t="shared" si="109"/>
        <v>1578404</v>
      </c>
      <c r="F110" s="1030">
        <f t="shared" si="109"/>
        <v>1578404</v>
      </c>
      <c r="G110" s="1030">
        <f t="shared" si="109"/>
        <v>0</v>
      </c>
      <c r="H110" s="1030">
        <f t="shared" si="109"/>
        <v>0</v>
      </c>
      <c r="I110" s="1030">
        <f t="shared" si="109"/>
        <v>0</v>
      </c>
      <c r="J110" s="1030">
        <f t="shared" si="109"/>
        <v>0</v>
      </c>
      <c r="K110" s="1030">
        <f t="shared" si="109"/>
        <v>0</v>
      </c>
      <c r="L110" s="1030">
        <f t="shared" si="109"/>
        <v>1550000</v>
      </c>
      <c r="M110" s="1030">
        <f t="shared" si="109"/>
        <v>1550000</v>
      </c>
      <c r="N110" s="1030">
        <f t="shared" si="109"/>
        <v>0</v>
      </c>
      <c r="O110" s="1030">
        <f t="shared" si="109"/>
        <v>5400000</v>
      </c>
      <c r="P110" s="1030">
        <f t="shared" si="109"/>
        <v>4947736</v>
      </c>
      <c r="Q110" s="1030">
        <f t="shared" si="109"/>
        <v>0</v>
      </c>
      <c r="R110" s="1030">
        <f t="shared" si="109"/>
        <v>0</v>
      </c>
      <c r="S110" s="1030">
        <f t="shared" si="109"/>
        <v>0</v>
      </c>
      <c r="T110" s="1030">
        <f t="shared" si="109"/>
        <v>0</v>
      </c>
      <c r="U110" s="1030">
        <f t="shared" si="109"/>
        <v>0</v>
      </c>
      <c r="V110" s="1030">
        <f t="shared" si="109"/>
        <v>0</v>
      </c>
      <c r="W110" s="1030">
        <f t="shared" si="109"/>
        <v>0</v>
      </c>
      <c r="X110" s="1030">
        <f t="shared" si="109"/>
        <v>0</v>
      </c>
      <c r="Y110" s="1030">
        <f t="shared" si="109"/>
        <v>0</v>
      </c>
      <c r="Z110" s="1030">
        <f t="shared" si="109"/>
        <v>0</v>
      </c>
      <c r="AA110" s="1030">
        <f t="shared" si="109"/>
        <v>4791000</v>
      </c>
      <c r="AB110" s="1030">
        <f t="shared" si="109"/>
        <v>4791000</v>
      </c>
      <c r="AC110" s="1030">
        <f t="shared" si="109"/>
        <v>0</v>
      </c>
      <c r="AD110" s="1030">
        <f t="shared" si="109"/>
        <v>5419350</v>
      </c>
      <c r="AE110" s="1030">
        <f t="shared" si="109"/>
        <v>5083008</v>
      </c>
      <c r="AF110" s="1030">
        <f t="shared" si="109"/>
        <v>0</v>
      </c>
      <c r="AG110" s="1030">
        <f t="shared" si="109"/>
        <v>0</v>
      </c>
      <c r="AH110" s="1030">
        <f t="shared" ref="AH110:AY110" si="110">SUM(AH91+AH109)</f>
        <v>0</v>
      </c>
      <c r="AI110" s="1030">
        <f t="shared" si="110"/>
        <v>418447</v>
      </c>
      <c r="AJ110" s="1030">
        <f t="shared" si="110"/>
        <v>213837</v>
      </c>
      <c r="AK110" s="1030">
        <f t="shared" si="110"/>
        <v>1915487851</v>
      </c>
      <c r="AL110" s="1030">
        <f t="shared" si="110"/>
        <v>1956336931</v>
      </c>
      <c r="AM110" s="1030">
        <f t="shared" si="110"/>
        <v>2016858</v>
      </c>
      <c r="AN110" s="1030">
        <f t="shared" si="110"/>
        <v>1977111878</v>
      </c>
      <c r="AO110" s="1030">
        <f t="shared" si="110"/>
        <v>1639804475</v>
      </c>
      <c r="AP110" s="1104">
        <f t="shared" si="110"/>
        <v>0</v>
      </c>
      <c r="AQ110" s="1104">
        <f t="shared" si="110"/>
        <v>0</v>
      </c>
      <c r="AR110" s="1104">
        <f t="shared" si="110"/>
        <v>0</v>
      </c>
      <c r="AS110" s="1104">
        <f t="shared" si="110"/>
        <v>0</v>
      </c>
      <c r="AT110" s="1104">
        <f t="shared" si="110"/>
        <v>0</v>
      </c>
      <c r="AU110" s="1104">
        <f t="shared" si="110"/>
        <v>0</v>
      </c>
      <c r="AV110" s="1104">
        <f t="shared" si="110"/>
        <v>0</v>
      </c>
      <c r="AW110" s="1104">
        <f t="shared" si="110"/>
        <v>0</v>
      </c>
      <c r="AX110" s="1104">
        <f t="shared" si="110"/>
        <v>0</v>
      </c>
      <c r="AY110" s="1104">
        <f t="shared" si="110"/>
        <v>0</v>
      </c>
      <c r="AZ110" s="1030"/>
      <c r="BA110" s="1030">
        <f t="shared" ref="BA110:BG110" si="111">SUM(BA91+BA109)</f>
        <v>34663965</v>
      </c>
      <c r="BB110" s="1030">
        <f t="shared" si="111"/>
        <v>34663965</v>
      </c>
      <c r="BC110" s="1030">
        <f t="shared" si="111"/>
        <v>1921828851</v>
      </c>
      <c r="BD110" s="1030">
        <f t="shared" si="111"/>
        <v>1962677931</v>
      </c>
      <c r="BE110" s="1030">
        <f t="shared" si="111"/>
        <v>2016858</v>
      </c>
      <c r="BF110" s="1030">
        <f t="shared" si="111"/>
        <v>2024592044</v>
      </c>
      <c r="BG110" s="1030">
        <f t="shared" si="111"/>
        <v>1686291425</v>
      </c>
      <c r="BH110" s="809"/>
    </row>
    <row r="111" spans="1:63" s="405" customFormat="1" ht="15" hidden="1" customHeight="1">
      <c r="A111" s="1114" t="s">
        <v>833</v>
      </c>
      <c r="B111" s="1115"/>
      <c r="C111" s="1115">
        <v>1860931</v>
      </c>
      <c r="D111" s="1115">
        <v>1186942</v>
      </c>
      <c r="E111" s="1115">
        <f>SUM(C111:D111)</f>
        <v>3047873</v>
      </c>
      <c r="F111" s="1115"/>
      <c r="G111" s="1115"/>
      <c r="H111" s="1115"/>
      <c r="I111" s="1115"/>
      <c r="J111" s="1115"/>
      <c r="K111" s="1115"/>
      <c r="L111" s="1115"/>
      <c r="M111" s="1115"/>
      <c r="N111" s="1115"/>
      <c r="O111" s="1115"/>
      <c r="P111" s="1115"/>
      <c r="Q111" s="1115"/>
      <c r="R111" s="1115"/>
      <c r="S111" s="1115"/>
      <c r="T111" s="1115"/>
      <c r="U111" s="1085">
        <f>R111-Q111</f>
        <v>0</v>
      </c>
      <c r="V111" s="1115"/>
      <c r="W111" s="1115"/>
      <c r="X111" s="1115"/>
      <c r="Y111" s="1115"/>
      <c r="Z111" s="1115"/>
      <c r="AA111" s="1115"/>
      <c r="AB111" s="1115"/>
      <c r="AC111" s="1115"/>
      <c r="AD111" s="1115"/>
      <c r="AE111" s="1085">
        <f>W111-V111</f>
        <v>0</v>
      </c>
      <c r="AF111" s="1115">
        <v>38146</v>
      </c>
      <c r="AG111" s="1115"/>
      <c r="AH111" s="1115"/>
      <c r="AI111" s="1115">
        <f>SUM(AG111:AH111)</f>
        <v>0</v>
      </c>
      <c r="AJ111" s="1085">
        <f>AG111-AF111</f>
        <v>-38146</v>
      </c>
      <c r="AK111" s="1115"/>
      <c r="AL111" s="1115"/>
      <c r="AM111" s="1115"/>
      <c r="AN111" s="1115">
        <f>SUM(AL111:AM111)</f>
        <v>0</v>
      </c>
      <c r="AO111" s="1085">
        <f>AL111-AK111</f>
        <v>0</v>
      </c>
      <c r="AP111" s="1115"/>
      <c r="AQ111" s="1115"/>
      <c r="AR111" s="1115"/>
      <c r="AS111" s="1115">
        <f>SUM(AQ111:AR111)</f>
        <v>0</v>
      </c>
      <c r="AT111" s="1085">
        <f>AQ111-AP111</f>
        <v>0</v>
      </c>
      <c r="AU111" s="1115"/>
      <c r="AV111" s="1115"/>
      <c r="AW111" s="1115"/>
      <c r="AX111" s="1115"/>
      <c r="AY111" s="1085">
        <f>AV111-AU111</f>
        <v>0</v>
      </c>
      <c r="AZ111" s="1019"/>
      <c r="BA111" s="1019"/>
      <c r="BB111" s="1019"/>
      <c r="BC111" s="1088">
        <f t="shared" ref="BC111:BE112" si="112">B111+G111+L111+Q111+V111+AA111+AF111+AK111+AP111+AU111</f>
        <v>38146</v>
      </c>
      <c r="BD111" s="1088">
        <f t="shared" si="112"/>
        <v>1860931</v>
      </c>
      <c r="BE111" s="1116">
        <f t="shared" si="112"/>
        <v>1186942</v>
      </c>
      <c r="BF111" s="1117">
        <f>SUM(BD111+BE111)</f>
        <v>3047873</v>
      </c>
      <c r="BG111" s="1087">
        <f>BD111-BC111</f>
        <v>1822785</v>
      </c>
      <c r="BH111" s="321"/>
      <c r="BJ111" s="321">
        <f>BF111-'2 b Állami'!AA35</f>
        <v>-4540220</v>
      </c>
    </row>
    <row r="112" spans="1:63" s="630" customFormat="1" ht="15" hidden="1" customHeight="1">
      <c r="A112" s="1114" t="s">
        <v>834</v>
      </c>
      <c r="B112" s="1118">
        <f>B65-B110-B111</f>
        <v>1346427851</v>
      </c>
      <c r="C112" s="1118">
        <f>C65-C110-C111</f>
        <v>1361159000</v>
      </c>
      <c r="D112" s="1118">
        <f>D65-D110-D111</f>
        <v>829916</v>
      </c>
      <c r="E112" s="1115">
        <f>SUM(C112:D112)</f>
        <v>1361988916</v>
      </c>
      <c r="F112" s="1118">
        <f>F65-F110-F111</f>
        <v>1202377592</v>
      </c>
      <c r="G112" s="1118">
        <f>G65-G110-G111</f>
        <v>0</v>
      </c>
      <c r="H112" s="1118">
        <f>H65-H110-H111</f>
        <v>0</v>
      </c>
      <c r="I112" s="1118">
        <f>I65-I110-I111</f>
        <v>0</v>
      </c>
      <c r="J112" s="1118">
        <f>SUM(H112:I112)</f>
        <v>0</v>
      </c>
      <c r="K112" s="1118">
        <f>K65-K110-K111</f>
        <v>0</v>
      </c>
      <c r="L112" s="1118">
        <f>L65-L110-L111</f>
        <v>497339000</v>
      </c>
      <c r="M112" s="1118">
        <f>M65-M110-M111</f>
        <v>521596000</v>
      </c>
      <c r="N112" s="1118">
        <f>N65-N110-N111</f>
        <v>0</v>
      </c>
      <c r="O112" s="1118">
        <f>SUM(M112:N112)</f>
        <v>521596000</v>
      </c>
      <c r="P112" s="1118">
        <f>P65-P110-P111</f>
        <v>389182592</v>
      </c>
      <c r="Q112" s="1118"/>
      <c r="R112" s="1118"/>
      <c r="S112" s="1118"/>
      <c r="T112" s="1118"/>
      <c r="U112" s="1085">
        <f>R112-Q112</f>
        <v>0</v>
      </c>
      <c r="V112" s="1118">
        <f>V65-V110-V111</f>
        <v>0</v>
      </c>
      <c r="W112" s="1118">
        <f>W65-W110-W111</f>
        <v>0</v>
      </c>
      <c r="X112" s="1118">
        <f>X65-X110-X111</f>
        <v>0</v>
      </c>
      <c r="Y112" s="1118">
        <f>SUM(W112:X112)</f>
        <v>0</v>
      </c>
      <c r="Z112" s="1118">
        <f t="shared" ref="Z112:AI112" si="113">Z65-Z110-Z111</f>
        <v>0</v>
      </c>
      <c r="AA112" s="1118">
        <f t="shared" si="113"/>
        <v>10934000</v>
      </c>
      <c r="AB112" s="1118">
        <f t="shared" si="113"/>
        <v>10934000</v>
      </c>
      <c r="AC112" s="1118">
        <f t="shared" si="113"/>
        <v>0</v>
      </c>
      <c r="AD112" s="1118">
        <f t="shared" si="113"/>
        <v>10305650</v>
      </c>
      <c r="AE112" s="1085">
        <f t="shared" si="113"/>
        <v>4349427</v>
      </c>
      <c r="AF112" s="1118">
        <f t="shared" si="113"/>
        <v>104854</v>
      </c>
      <c r="AG112" s="1118">
        <f t="shared" si="113"/>
        <v>143000</v>
      </c>
      <c r="AH112" s="1118">
        <f t="shared" si="113"/>
        <v>0</v>
      </c>
      <c r="AI112" s="1118">
        <f t="shared" si="113"/>
        <v>-275447</v>
      </c>
      <c r="AJ112" s="1085">
        <f>AG112-AF112</f>
        <v>38146</v>
      </c>
      <c r="AK112" s="1118">
        <f>AK65-AK110-AK111</f>
        <v>-1854843851</v>
      </c>
      <c r="AL112" s="1118">
        <f>SUM(AL65-AL81)</f>
        <v>59624000</v>
      </c>
      <c r="AM112" s="1118">
        <f>SUM(AM65-AM81)</f>
        <v>0</v>
      </c>
      <c r="AN112" s="1115">
        <f>SUM(AL112:AM112)</f>
        <v>59624000</v>
      </c>
      <c r="AO112" s="1085">
        <f>AL112-AK112</f>
        <v>1914467851</v>
      </c>
      <c r="AP112" s="1118">
        <f>AP65-AP110-AP111</f>
        <v>0</v>
      </c>
      <c r="AQ112" s="1118">
        <f>AQ65-AQ110-AQ111</f>
        <v>0</v>
      </c>
      <c r="AR112" s="1118">
        <f>AR65-AR110-AR111</f>
        <v>0</v>
      </c>
      <c r="AS112" s="1118">
        <f>SUM(AQ112:AR112)</f>
        <v>0</v>
      </c>
      <c r="AT112" s="1085">
        <f>AQ112-AP112</f>
        <v>0</v>
      </c>
      <c r="AU112" s="1118">
        <f>AU65-AU110-AU111</f>
        <v>0</v>
      </c>
      <c r="AV112" s="1118">
        <f>AV65-AV110-AV111</f>
        <v>0</v>
      </c>
      <c r="AW112" s="1118">
        <f>AW65-AW110-AW111</f>
        <v>0</v>
      </c>
      <c r="AX112" s="1118">
        <f>SUM(AV112:AW112)</f>
        <v>0</v>
      </c>
      <c r="AY112" s="1085">
        <f>AS112-AR112</f>
        <v>0</v>
      </c>
      <c r="AZ112" s="1019"/>
      <c r="BA112" s="1019"/>
      <c r="BB112" s="1019"/>
      <c r="BC112" s="1088">
        <f t="shared" si="112"/>
        <v>-38146</v>
      </c>
      <c r="BD112" s="1088">
        <f t="shared" si="112"/>
        <v>1953456000</v>
      </c>
      <c r="BE112" s="1116">
        <f t="shared" si="112"/>
        <v>829916</v>
      </c>
      <c r="BF112" s="1119">
        <f>SUM(BD112+BE112)</f>
        <v>1954285916</v>
      </c>
      <c r="BG112" s="1087">
        <f>BD112-BC112</f>
        <v>1953494146</v>
      </c>
      <c r="BH112" s="633"/>
      <c r="BI112" s="633">
        <f>BF110-BF111-BF112-BF91</f>
        <v>40484402</v>
      </c>
      <c r="BJ112" s="633">
        <f>BG65-BG110</f>
        <v>-837422</v>
      </c>
    </row>
    <row r="113" spans="33:58" ht="15" hidden="1" customHeight="1">
      <c r="AG113" s="415"/>
      <c r="AH113" s="415"/>
      <c r="AL113" s="415"/>
      <c r="AM113" s="415"/>
      <c r="AQ113" s="415"/>
      <c r="AR113" s="415"/>
      <c r="AV113" s="415"/>
      <c r="AW113" s="415"/>
      <c r="BF113" s="809">
        <f>SUM(BF65-BF110)</f>
        <v>0</v>
      </c>
    </row>
    <row r="114" spans="33:58" ht="15" hidden="1" customHeight="1">
      <c r="BF114" s="809">
        <f>SUM(BF112+BF111)</f>
        <v>1957333789</v>
      </c>
    </row>
    <row r="115" spans="33:58" ht="15" customHeight="1"/>
    <row r="116" spans="33:58" ht="15" customHeight="1"/>
    <row r="117" spans="33:58" ht="15" customHeight="1"/>
    <row r="118" spans="33:58" ht="15" customHeight="1"/>
    <row r="119" spans="33:58" ht="15" customHeight="1"/>
    <row r="120" spans="33:58" ht="15" customHeight="1"/>
    <row r="121" spans="33:58" ht="15" customHeight="1"/>
    <row r="122" spans="33:58" ht="15" customHeight="1"/>
    <row r="123" spans="33:58" ht="15" customHeight="1"/>
    <row r="124" spans="33:58" ht="15" customHeight="1"/>
    <row r="125" spans="33:58" ht="15" customHeight="1"/>
    <row r="126" spans="33:58" ht="15" customHeight="1"/>
    <row r="127" spans="33:58" ht="15" customHeight="1"/>
    <row r="128" spans="33:5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</sheetData>
  <sheetProtection selectLockedCells="1" selectUnlockedCells="1"/>
  <mergeCells count="33">
    <mergeCell ref="AQ4:AS4"/>
    <mergeCell ref="AV4:AX4"/>
    <mergeCell ref="BD4:BF4"/>
    <mergeCell ref="AG3:AI3"/>
    <mergeCell ref="AL3:AN3"/>
    <mergeCell ref="AQ3:AS3"/>
    <mergeCell ref="AV3:AX3"/>
    <mergeCell ref="R4:T4"/>
    <mergeCell ref="W4:Y4"/>
    <mergeCell ref="AB4:AD4"/>
    <mergeCell ref="AG4:AI4"/>
    <mergeCell ref="AL4:AN4"/>
    <mergeCell ref="G2:K2"/>
    <mergeCell ref="L2:P2"/>
    <mergeCell ref="C4:E4"/>
    <mergeCell ref="H4:J4"/>
    <mergeCell ref="M4:O4"/>
    <mergeCell ref="Q2:U2"/>
    <mergeCell ref="V2:Z2"/>
    <mergeCell ref="AZ2:BB2"/>
    <mergeCell ref="BC2:BG2"/>
    <mergeCell ref="C3:E3"/>
    <mergeCell ref="H3:J3"/>
    <mergeCell ref="M3:O3"/>
    <mergeCell ref="R3:T3"/>
    <mergeCell ref="W3:Y3"/>
    <mergeCell ref="AB3:AD3"/>
    <mergeCell ref="AA2:AE2"/>
    <mergeCell ref="AF2:AJ2"/>
    <mergeCell ref="AK2:AO2"/>
    <mergeCell ref="AP2:AT2"/>
    <mergeCell ref="AV2:AX2"/>
    <mergeCell ref="B2:F2"/>
  </mergeCells>
  <printOptions horizontalCentered="1"/>
  <pageMargins left="0.23622047244094491" right="0.23622047244094491" top="0.98425196850393704" bottom="0.74803149606299213" header="0.31496062992125984" footer="0.31496062992125984"/>
  <pageSetup paperSize="9" scale="65" firstPageNumber="0" orientation="portrait" horizontalDpi="300" verticalDpi="300" r:id="rId1"/>
  <headerFooter alignWithMargins="0">
    <oddHeader>&amp;C&amp;"Arial CE,Félkövér" 
XV.ker Önkormányzata Polgármesteri Hivatal  2016.évi  előirányzatának  teljesítése (Ft)&amp;R&amp;8 4.2. m. a 2016. évi költségvetésről szóló 5/2016. (II.29.) ök.rendelet végrehajtásáról szóló 11/2017. (V.3.) ök. rendelethez</oddHeader>
    <oddFooter>&amp;C&amp;8                &amp;P. oldal</oddFooter>
  </headerFooter>
  <colBreaks count="4" manualBreakCount="4">
    <brk id="11" max="1048575" man="1"/>
    <brk id="21" max="1048575" man="1"/>
    <brk id="31" max="1048575" man="1"/>
    <brk id="51" min="1" max="1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31</vt:i4>
      </vt:variant>
    </vt:vector>
  </HeadingPairs>
  <TitlesOfParts>
    <vt:vector size="48" baseType="lpstr">
      <vt:lpstr>1 m Mérleg  </vt:lpstr>
      <vt:lpstr>2 m Bev</vt:lpstr>
      <vt:lpstr>2 a Átvett</vt:lpstr>
      <vt:lpstr>2 b Állami</vt:lpstr>
      <vt:lpstr>3 m Kiad</vt:lpstr>
      <vt:lpstr>3 a Átadott</vt:lpstr>
      <vt:lpstr>4 a Intézmények</vt:lpstr>
      <vt:lpstr>4 aa Állami fentart Int</vt:lpstr>
      <vt:lpstr>4 ba Polg Hiv</vt:lpstr>
      <vt:lpstr>4 bba Önkorm </vt:lpstr>
      <vt:lpstr>4 bbb Önkorm</vt:lpstr>
      <vt:lpstr>4 c Önk Korrekció</vt:lpstr>
      <vt:lpstr>4 d Tartalék</vt:lpstr>
      <vt:lpstr>6 m FÚ</vt:lpstr>
      <vt:lpstr>7 m FH</vt:lpstr>
      <vt:lpstr>8 m Pályázat</vt:lpstr>
      <vt:lpstr>Munka1</vt:lpstr>
      <vt:lpstr>'4 a Intézmények'!Excel_BuiltIn__FilterDatabase</vt:lpstr>
      <vt:lpstr>'2 a Átvett'!Nyomtatási_cím</vt:lpstr>
      <vt:lpstr>'2 b Állami'!Nyomtatási_cím</vt:lpstr>
      <vt:lpstr>'2 m Bev'!Nyomtatási_cím</vt:lpstr>
      <vt:lpstr>'3 a Átadott'!Nyomtatási_cím</vt:lpstr>
      <vt:lpstr>'3 m Kiad'!Nyomtatási_cím</vt:lpstr>
      <vt:lpstr>'4 a Intézmények'!Nyomtatási_cím</vt:lpstr>
      <vt:lpstr>'4 aa Állami fentart Int'!Nyomtatási_cím</vt:lpstr>
      <vt:lpstr>'4 ba Polg Hiv'!Nyomtatási_cím</vt:lpstr>
      <vt:lpstr>'4 bba Önkorm '!Nyomtatási_cím</vt:lpstr>
      <vt:lpstr>'4 bbb Önkorm'!Nyomtatási_cím</vt:lpstr>
      <vt:lpstr>'4 c Önk Korrekció'!Nyomtatási_cím</vt:lpstr>
      <vt:lpstr>'4 d Tartalék'!Nyomtatási_cím</vt:lpstr>
      <vt:lpstr>'6 m FÚ'!Nyomtatási_cím</vt:lpstr>
      <vt:lpstr>'7 m FH'!Nyomtatási_cím</vt:lpstr>
      <vt:lpstr>'8 m Pályázat'!Nyomtatási_cím</vt:lpstr>
      <vt:lpstr>'1 m Mérleg  '!Nyomtatási_terület</vt:lpstr>
      <vt:lpstr>'2 a Átvett'!Nyomtatási_terület</vt:lpstr>
      <vt:lpstr>'2 b Állami'!Nyomtatási_terület</vt:lpstr>
      <vt:lpstr>'2 m Bev'!Nyomtatási_terület</vt:lpstr>
      <vt:lpstr>'3 a Átadott'!Nyomtatási_terület</vt:lpstr>
      <vt:lpstr>'3 m Kiad'!Nyomtatási_terület</vt:lpstr>
      <vt:lpstr>'4 a Intézmények'!Nyomtatási_terület</vt:lpstr>
      <vt:lpstr>'4 aa Állami fentart Int'!Nyomtatási_terület</vt:lpstr>
      <vt:lpstr>'4 ba Polg Hiv'!Nyomtatási_terület</vt:lpstr>
      <vt:lpstr>'4 bba Önkorm '!Nyomtatási_terület</vt:lpstr>
      <vt:lpstr>'4 bbb Önkorm'!Nyomtatási_terület</vt:lpstr>
      <vt:lpstr>'4 c Önk Korrekció'!Nyomtatási_terület</vt:lpstr>
      <vt:lpstr>'4 d Tartalék'!Nyomtatási_terület</vt:lpstr>
      <vt:lpstr>'6 m FÚ'!Nyomtatási_terület</vt:lpstr>
      <vt:lpstr>'8 m Pályázat'!Nyomtatási_terület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 Ágnes</dc:creator>
  <cp:lastModifiedBy>Tiszai_Arpad</cp:lastModifiedBy>
  <cp:lastPrinted>2017-05-03T08:15:35Z</cp:lastPrinted>
  <dcterms:created xsi:type="dcterms:W3CDTF">2017-04-06T06:51:17Z</dcterms:created>
  <dcterms:modified xsi:type="dcterms:W3CDTF">2017-05-03T08:15:45Z</dcterms:modified>
</cp:coreProperties>
</file>